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I25" i="2"/>
  <c r="AA38" i="1" s="1"/>
  <c r="H40" i="2"/>
  <c r="K55" i="1" s="1"/>
  <c r="H39" i="2"/>
  <c r="K54" i="1" s="1"/>
  <c r="H31" i="2"/>
  <c r="H29" i="2"/>
  <c r="H27" i="2"/>
  <c r="K38" i="1"/>
  <c r="AA62" i="1"/>
  <c r="AA41" i="1"/>
  <c r="AA36" i="1"/>
  <c r="AA33" i="1"/>
  <c r="AA31" i="1"/>
  <c r="AA30" i="1"/>
  <c r="AA25" i="1"/>
  <c r="AA23" i="1"/>
  <c r="AA22" i="1"/>
  <c r="AA20" i="1"/>
  <c r="AA19" i="1"/>
  <c r="K62" i="1"/>
  <c r="K41" i="1"/>
  <c r="K36" i="1"/>
  <c r="K33" i="1"/>
  <c r="K31" i="1"/>
  <c r="K30" i="1"/>
  <c r="K25" i="1"/>
  <c r="K23" i="1"/>
  <c r="K22" i="1"/>
  <c r="K20" i="1"/>
  <c r="K19" i="1"/>
  <c r="K39" i="1" l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G60" i="1" l="1"/>
  <c r="D27" i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<sst xmlns="http://schemas.openxmlformats.org/spreadsheetml/2006/main" count="421" uniqueCount="159">
  <si>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</si>
  <si>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</si>
  <si>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</si>
  <si>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</si>
  <si>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</si>
  <si>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</si>
  <si>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</si>
  <si>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</si>
  <si>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</si>
  <si>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</si>
  <si>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</si>
  <si>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</si>
  <si>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</si>
  <si>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</si>
  <si>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</si>
  <si>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</si>
  <si>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</si>
  <si>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</si>
  <si>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</si>
  <si>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</si>
  <si>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</si>
  <si>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</si>
  <si>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</si>
  <si>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</si>
  <si>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</si>
  <si>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</si>
  <si>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</si>
  <si>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</si>
  <si>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</si>
  <si>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</si>
  <si>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</si>
  <si>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</si>
  <si>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</si>
  <si>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</si>
  <si>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</si>
  <si>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</si>
  <si>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</si>
  <si>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</si>
  <si>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</si>
  <si>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</si>
  <si>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</si>
  <si>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</si>
  <si>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</si>
  <si>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</si>
  <si>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</si>
  <si>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</si>
  <si>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</si>
  <si>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</si>
  <si>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</si>
  <si>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</si>
  <si>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</si>
  <si>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</si>
  <si>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</si>
  <si>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</si>
  <si>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</si>
  <si>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</si>
  <si>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</si>
  <si>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</si>
  <si>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</si>
  <si>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</si>
  <si>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</si>
  <si>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</si>
  <si>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</si>
  <si>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</si>
  <si>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</si>
  <si>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</si>
  <si>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</si>
  <si>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</si>
  <si>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</si>
  <si>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</si>
  <si>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</si>
  <si>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</si>
  <si>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</si>
  <si>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</si>
  <si>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</si>
  <si>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</si>
  <si>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</si>
  <si>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</si>
  <si>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</si>
  <si>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</si>
  <si>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</si>
  <si>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</si>
  <si>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</si>
  <si>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</si>
  <si>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</si>
  <si>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</si>
  <si>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</si>
  <si>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</si>
  <si>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</si>
  <si>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</si>
  <si>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</si>
  <si>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</si>
  <si>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</si>
  <si>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</si>
  <si>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</si>
  <si>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</si>
  <si>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</si>
  <si>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</si>
  <si>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</si>
  <si>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</si>
  <si>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</si>
  <si>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</si>
  <si>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</si>
  <si>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</si>
  <si>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</si>
  <si>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</si>
  <si>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</si>
  <si>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</si>
  <si>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</si>
  <si>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</si>
  <si>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</si>
  <si>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</si>
  <si>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</si>
  <si>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</si>
  <si>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</si>
  <si>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</si>
  <si>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</si>
  <si>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</si>
  <si>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</si>
  <si>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</si>
  <si>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</si>
  <si>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</si>
  <si>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</si>
  <si>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</si>
  <si>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</si>
  <si>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</si>
  <si>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</si>
  <si>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</si>
  <si>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</si>
  <si>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</si>
  <si>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</si>
  <si>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</si>
  <si>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</si>
  <si>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</si>
  <si>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</si>
  <si>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</si>
  <si>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</si>
  <si>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</si>
  <si>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</si>
  <si>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</si>
  <si>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</si>
  <si>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</si>
  <si>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</si>
  <si>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</si>
  <si>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</si>
  <si>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</si>
  <si>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</si>
  <si>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</si>
  <si>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</si>
  <si>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</si>
  <si>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</si>
  <si>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</si>
  <si>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</si>
  <si>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</si>
  <si>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</si>
  <si>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</si>
  <si>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Освіти 15 31</t>
  </si>
  <si>
    <t xml:space="preserve">          за адресою: м.Вишневе  вул. Освіти 15 31</t>
  </si>
  <si>
    <t xml:space="preserve">   за адресою: м.Вишневе  вул. Освіти 15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</si>
</sst>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2" fillId="0" borderId="0" xfId="0" applyFont="1"/>
    <xf numFmtId="0" fontId="21" fillId="0" borderId="0" xfId="0" applyFont="1"/>
    <xf numFmtId="2" fontId="20" fillId="0" borderId="6" xfId="0" applyNumberFormat="1" applyFont="1" applyBorder="1" applyAlignment="1">
      <alignment vertical="top" wrapText="1"/>
    </xf>
    <xf numFmtId="164" fontId="20" fillId="0" borderId="6" xfId="0" applyNumberFormat="1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19" fillId="0" borderId="3" xfId="0" applyFont="1" applyBorder="1" applyAlignment="1">
      <alignment wrapText="1"/>
    </xf>
    <xf numFmtId="0" fontId="30" fillId="0" borderId="3" xfId="0" applyFont="1" applyBorder="1" applyAlignment="1">
      <alignment wrapText="1"/>
    </xf>
    <xf numFmtId="0" fontId="30" fillId="0" borderId="6" xfId="0" applyFont="1" applyBorder="1" applyAlignment="1">
      <alignment horizontal="center" textRotation="90" wrapText="1"/>
    </xf>
    <xf numFmtId="0" fontId="21" fillId="0" borderId="0" xfId="0" applyFont="1" applyAlignment="1">
      <alignment horizontal="right"/>
    </xf>
    <xf numFmtId="0" fontId="29" fillId="0" borderId="6" xfId="0" applyFont="1" applyBorder="1" applyAlignment="1">
      <alignment horizontal="center" vertical="top" wrapText="1"/>
    </xf>
    <xf numFmtId="0" fontId="29" fillId="0" borderId="5" xfId="0" applyFont="1" applyBorder="1" applyAlignment="1">
      <alignment vertical="top" wrapText="1"/>
    </xf>
    <xf numFmtId="0" fontId="29" fillId="0" borderId="18" xfId="0" applyFont="1" applyBorder="1" applyAlignment="1">
      <alignment vertical="top" wrapText="1"/>
    </xf>
    <xf numFmtId="0" fontId="29" fillId="0" borderId="17" xfId="0" applyFont="1" applyBorder="1" applyAlignment="1">
      <alignment vertical="top" wrapText="1"/>
    </xf>
    <xf numFmtId="0" fontId="29" fillId="0" borderId="1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2" fontId="33" fillId="0" borderId="6" xfId="0" applyNumberFormat="1" applyFont="1" applyBorder="1" applyAlignment="1">
      <alignment vertical="top" wrapText="1"/>
    </xf>
    <xf numFmtId="2" fontId="33" fillId="0" borderId="5" xfId="0" applyNumberFormat="1" applyFont="1" applyBorder="1" applyAlignment="1">
      <alignment vertical="top" wrapText="1"/>
    </xf>
    <xf numFmtId="2" fontId="33" fillId="0" borderId="6" xfId="0" applyNumberFormat="1" applyFont="1" applyBorder="1" applyAlignment="1">
      <alignment horizontal="right" vertical="top" wrapText="1"/>
    </xf>
    <xf numFmtId="0" fontId="24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8" xfId="0" applyFont="1" applyBorder="1" applyAlignment="1">
      <alignment vertical="top" wrapText="1"/>
    </xf>
    <xf numFmtId="0" fontId="29" fillId="0" borderId="6" xfId="0" applyFont="1" applyBorder="1" applyAlignment="1">
      <alignment horizontal="center" vertical="top" wrapText="1"/>
    </xf>
    <xf numFmtId="0" fontId="23" fillId="0" borderId="0" xfId="0" applyFont="1"/>
    <xf numFmtId="0" fontId="19" fillId="0" borderId="0" xfId="0" applyFont="1" applyAlignment="1">
      <alignment horizontal="right"/>
    </xf>
    <xf numFmtId="0" fontId="19" fillId="0" borderId="1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0" fillId="0" borderId="16" xfId="0" applyNumberFormat="1" applyFont="1" applyBorder="1"/>
    <xf numFmtId="2" fontId="33" fillId="0" borderId="8" xfId="0" applyNumberFormat="1" applyFont="1" applyBorder="1" applyAlignment="1">
      <alignment vertical="top" wrapText="1"/>
    </xf>
    <xf numFmtId="2" fontId="20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4" fillId="0" borderId="6" xfId="0" applyNumberFormat="1" applyFont="1" applyBorder="1" applyAlignment="1">
      <alignment vertical="top" wrapText="1"/>
    </xf>
    <xf numFmtId="2" fontId="33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29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3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4" fillId="0" borderId="6" xfId="0" applyNumberFormat="1" applyFont="1" applyBorder="1" applyAlignment="1">
      <alignment horizontal="center" vertical="top" wrapText="1"/>
    </xf>
    <xf numFmtId="2" fontId="33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0" fillId="3" borderId="6" xfId="0" applyNumberFormat="1" applyFont="1" applyFill="1" applyBorder="1" applyAlignment="1">
      <alignment vertical="top" wrapText="1"/>
    </xf>
    <xf numFmtId="2" fontId="20" fillId="3" borderId="5" xfId="0" applyNumberFormat="1" applyFont="1" applyFill="1" applyBorder="1" applyAlignment="1">
      <alignment vertical="top" wrapText="1"/>
    </xf>
    <xf numFmtId="2" fontId="20" fillId="3" borderId="25" xfId="0" applyNumberFormat="1" applyFont="1" applyFill="1" applyBorder="1" applyAlignment="1">
      <alignment vertical="top" wrapText="1"/>
    </xf>
    <xf numFmtId="2" fontId="21" fillId="3" borderId="6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0" fillId="0" borderId="8" xfId="0" applyNumberFormat="1" applyFont="1" applyBorder="1" applyAlignment="1">
      <alignment vertical="top" wrapText="1"/>
    </xf>
    <xf numFmtId="0" fontId="0" fillId="3" borderId="0" xfId="0" applyFill="1"/>
    <xf numFmtId="4" fontId="20" fillId="0" borderId="8" xfId="0" applyNumberFormat="1" applyFont="1" applyBorder="1" applyAlignment="1">
      <alignment vertical="top" wrapText="1"/>
    </xf>
    <xf numFmtId="4" fontId="20" fillId="0" borderId="16" xfId="0" applyNumberFormat="1" applyFont="1" applyBorder="1" applyAlignment="1">
      <alignment vertical="top"/>
    </xf>
    <xf numFmtId="4" fontId="34" fillId="0" borderId="16" xfId="0" applyNumberFormat="1" applyFont="1" applyBorder="1" applyAlignment="1">
      <alignment vertical="top"/>
    </xf>
    <xf numFmtId="4" fontId="20" fillId="0" borderId="24" xfId="0" applyNumberFormat="1" applyFont="1" applyBorder="1" applyAlignment="1">
      <alignment vertical="top"/>
    </xf>
    <xf numFmtId="2" fontId="20" fillId="0" borderId="16" xfId="0" applyNumberFormat="1" applyFont="1" applyBorder="1" applyAlignment="1">
      <alignment vertical="top" wrapText="1"/>
    </xf>
    <xf numFmtId="4" fontId="20" fillId="0" borderId="19" xfId="0" applyNumberFormat="1" applyFont="1" applyBorder="1" applyAlignment="1">
      <alignment vertical="top"/>
    </xf>
    <xf numFmtId="4" fontId="34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3" fillId="0" borderId="6" xfId="0" applyNumberFormat="1" applyFont="1" applyBorder="1" applyAlignment="1">
      <alignment vertical="top" wrapText="1"/>
    </xf>
    <xf numFmtId="165" fontId="20" fillId="0" borderId="16" xfId="0" applyNumberFormat="1" applyFont="1" applyBorder="1" applyAlignment="1">
      <alignment vertical="top"/>
    </xf>
    <xf numFmtId="165" fontId="33" fillId="0" borderId="16" xfId="0" applyNumberFormat="1" applyFont="1" applyBorder="1" applyAlignment="1">
      <alignment vertical="top"/>
    </xf>
    <xf numFmtId="165" fontId="20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3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19" fillId="0" borderId="7" xfId="0" applyFont="1" applyBorder="1" applyAlignment="1">
      <alignment vertical="top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25" fillId="0" borderId="2" xfId="0" applyFont="1" applyBorder="1" applyAlignment="1">
      <alignment horizontal="center" wrapText="1"/>
    </xf>
    <xf numFmtId="0" fontId="25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0" fillId="0" borderId="8" xfId="0" applyBorder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3" fillId="0" borderId="1" xfId="0" applyNumberFormat="1" applyFont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20" fillId="0" borderId="1" xfId="0" applyNumberFormat="1" applyFont="1" applyBorder="1" applyAlignment="1">
      <alignment vertical="top" wrapText="1"/>
    </xf>
    <xf numFmtId="2" fontId="20" fillId="0" borderId="3" xfId="0" applyNumberFormat="1" applyFont="1" applyBorder="1" applyAlignment="1">
      <alignment vertical="top" wrapText="1"/>
    </xf>
    <xf numFmtId="2" fontId="33" fillId="0" borderId="1" xfId="0" applyNumberFormat="1" applyFont="1" applyBorder="1" applyAlignment="1">
      <alignment horizontal="right" vertical="top" wrapText="1"/>
    </xf>
    <xf numFmtId="2" fontId="33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2" fontId="24" fillId="0" borderId="1" xfId="0" applyNumberFormat="1" applyFont="1" applyBorder="1" applyAlignment="1">
      <alignment horizontal="center" vertical="top" wrapText="1"/>
    </xf>
    <xf numFmtId="2" fontId="2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4" fillId="3" borderId="1" xfId="0" applyNumberFormat="1" applyFont="1" applyFill="1" applyBorder="1" applyAlignment="1">
      <alignment vertical="top" wrapText="1"/>
    </xf>
    <xf numFmtId="2" fontId="34" fillId="3" borderId="3" xfId="0" applyNumberFormat="1" applyFont="1" applyFill="1" applyBorder="1" applyAlignment="1">
      <alignment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3" fillId="0" borderId="2" xfId="0" applyNumberFormat="1" applyFont="1" applyBorder="1" applyAlignment="1">
      <alignment horizontal="right" vertical="top" wrapText="1"/>
    </xf>
    <xf numFmtId="2" fontId="33" fillId="0" borderId="9" xfId="0" applyNumberFormat="1" applyFont="1" applyBorder="1" applyAlignment="1">
      <alignment horizontal="right" vertical="top" wrapText="1"/>
    </xf>
    <xf numFmtId="2" fontId="33" fillId="0" borderId="11" xfId="0" applyNumberFormat="1" applyFont="1" applyBorder="1" applyAlignment="1">
      <alignment horizontal="right" vertical="top" wrapText="1"/>
    </xf>
    <xf numFmtId="2" fontId="33" fillId="0" borderId="18" xfId="0" applyNumberFormat="1" applyFont="1" applyBorder="1" applyAlignment="1">
      <alignment horizontal="right" vertical="top" wrapText="1"/>
    </xf>
    <xf numFmtId="2" fontId="33" fillId="0" borderId="17" xfId="0" applyNumberFormat="1" applyFont="1" applyBorder="1" applyAlignment="1">
      <alignment horizontal="right" vertical="top" wrapText="1"/>
    </xf>
    <xf numFmtId="2" fontId="33" fillId="0" borderId="27" xfId="0" applyNumberFormat="1" applyFont="1" applyBorder="1" applyAlignment="1">
      <alignment horizontal="right" vertical="top" wrapText="1"/>
    </xf>
    <xf numFmtId="2" fontId="33" fillId="0" borderId="28" xfId="0" applyNumberFormat="1" applyFont="1" applyBorder="1" applyAlignment="1">
      <alignment horizontal="right" vertical="top" wrapText="1"/>
    </xf>
    <xf numFmtId="0" fontId="25" fillId="0" borderId="9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5" fillId="0" borderId="11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6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22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9" fillId="2" borderId="15" xfId="0" applyFont="1" applyFill="1" applyBorder="1" applyAlignment="1">
      <alignment horizontal="center" vertical="top" wrapText="1"/>
    </xf>
    <xf numFmtId="0" fontId="29" fillId="2" borderId="13" xfId="0" applyFont="1" applyFill="1" applyBorder="1" applyAlignment="1">
      <alignment horizontal="center" vertical="top" wrapText="1"/>
    </xf>
    <xf numFmtId="2" fontId="20" fillId="2" borderId="15" xfId="0" applyNumberFormat="1" applyFont="1" applyFill="1" applyBorder="1" applyAlignment="1">
      <alignment horizontal="right" vertical="top" wrapText="1"/>
    </xf>
    <xf numFmtId="2" fontId="20" fillId="2" borderId="13" xfId="0" applyNumberFormat="1" applyFont="1" applyFill="1" applyBorder="1" applyAlignment="1">
      <alignment horizontal="right" vertical="top" wrapText="1"/>
    </xf>
    <xf numFmtId="0" fontId="29" fillId="0" borderId="15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 wrapText="1"/>
    </xf>
    <xf numFmtId="2" fontId="33" fillId="0" borderId="15" xfId="0" applyNumberFormat="1" applyFont="1" applyBorder="1" applyAlignment="1">
      <alignment vertical="top" wrapText="1"/>
    </xf>
    <xf numFmtId="2" fontId="33" fillId="0" borderId="13" xfId="0" applyNumberFormat="1" applyFont="1" applyBorder="1" applyAlignment="1">
      <alignment vertical="top" wrapText="1"/>
    </xf>
    <xf numFmtId="2" fontId="20" fillId="0" borderId="15" xfId="0" applyNumberFormat="1" applyFont="1" applyBorder="1" applyAlignment="1">
      <alignment vertical="top" wrapText="1"/>
    </xf>
    <xf numFmtId="2" fontId="20" fillId="0" borderId="13" xfId="0" applyNumberFormat="1" applyFont="1" applyBorder="1" applyAlignment="1">
      <alignment vertical="top" wrapText="1"/>
    </xf>
    <xf numFmtId="2" fontId="33" fillId="0" borderId="15" xfId="0" applyNumberFormat="1" applyFont="1" applyBorder="1" applyAlignment="1">
      <alignment horizontal="right" vertical="top" wrapText="1"/>
    </xf>
    <xf numFmtId="2" fontId="33" fillId="0" borderId="13" xfId="0" applyNumberFormat="1" applyFont="1" applyBorder="1" applyAlignment="1">
      <alignment horizontal="right" vertical="top" wrapText="1"/>
    </xf>
    <xf numFmtId="2" fontId="20" fillId="0" borderId="15" xfId="0" applyNumberFormat="1" applyFont="1" applyBorder="1" applyAlignment="1">
      <alignment horizontal="right" vertical="top" wrapText="1"/>
    </xf>
    <xf numFmtId="2" fontId="20" fillId="0" borderId="13" xfId="0" applyNumberFormat="1" applyFont="1" applyBorder="1" applyAlignment="1">
      <alignment horizontal="right" vertical="top" wrapText="1"/>
    </xf>
    <xf numFmtId="2" fontId="20" fillId="3" borderId="15" xfId="0" applyNumberFormat="1" applyFont="1" applyFill="1" applyBorder="1" applyAlignment="1">
      <alignment horizontal="right" vertical="top" wrapText="1"/>
    </xf>
    <xf numFmtId="2" fontId="20" fillId="3" borderId="13" xfId="0" applyNumberFormat="1" applyFont="1" applyFill="1" applyBorder="1" applyAlignment="1">
      <alignment horizontal="right" vertical="top" wrapText="1"/>
    </xf>
    <xf numFmtId="2" fontId="33" fillId="3" borderId="15" xfId="0" applyNumberFormat="1" applyFont="1" applyFill="1" applyBorder="1" applyAlignment="1">
      <alignment horizontal="right" vertical="top" wrapText="1"/>
    </xf>
    <xf numFmtId="2" fontId="33" fillId="3" borderId="13" xfId="0" applyNumberFormat="1" applyFont="1" applyFill="1" applyBorder="1" applyAlignment="1">
      <alignment horizontal="right" vertical="top" wrapText="1"/>
    </xf>
    <xf numFmtId="2" fontId="20" fillId="3" borderId="15" xfId="0" applyNumberFormat="1" applyFont="1" applyFill="1" applyBorder="1" applyAlignment="1">
      <alignment vertical="top" wrapText="1"/>
    </xf>
    <xf numFmtId="2" fontId="20" fillId="3" borderId="13" xfId="0" applyNumberFormat="1" applyFont="1" applyFill="1" applyBorder="1" applyAlignment="1">
      <alignment vertical="top" wrapText="1"/>
    </xf>
    <xf numFmtId="164" fontId="20" fillId="0" borderId="15" xfId="0" applyNumberFormat="1" applyFont="1" applyBorder="1" applyAlignment="1">
      <alignment horizontal="right" vertical="top" wrapText="1"/>
    </xf>
    <xf numFmtId="164" fontId="20" fillId="0" borderId="13" xfId="0" applyNumberFormat="1" applyFont="1" applyBorder="1" applyAlignment="1">
      <alignment horizontal="right" vertical="top" wrapText="1"/>
    </xf>
    <xf numFmtId="164" fontId="33" fillId="0" borderId="15" xfId="0" applyNumberFormat="1" applyFont="1" applyBorder="1" applyAlignment="1">
      <alignment vertical="top" wrapText="1"/>
    </xf>
    <xf numFmtId="164" fontId="33" fillId="0" borderId="13" xfId="0" applyNumberFormat="1" applyFont="1" applyBorder="1" applyAlignment="1">
      <alignment vertical="top" wrapText="1"/>
    </xf>
    <xf numFmtId="164" fontId="20" fillId="0" borderId="15" xfId="0" applyNumberFormat="1" applyFont="1" applyBorder="1" applyAlignment="1">
      <alignment vertical="top" wrapText="1"/>
    </xf>
    <xf numFmtId="164" fontId="20" fillId="0" borderId="13" xfId="0" applyNumberFormat="1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2" fontId="21" fillId="3" borderId="15" xfId="0" applyNumberFormat="1" applyFont="1" applyFill="1" applyBorder="1" applyAlignment="1">
      <alignment horizontal="center" vertical="top" wrapText="1"/>
    </xf>
    <xf numFmtId="2" fontId="21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2" fontId="20" fillId="3" borderId="30" xfId="0" applyNumberFormat="1" applyFont="1" applyFill="1" applyBorder="1" applyAlignment="1">
      <alignment horizontal="right" vertical="top" wrapText="1"/>
    </xf>
    <xf numFmtId="2" fontId="20" fillId="3" borderId="31" xfId="0" applyNumberFormat="1" applyFont="1" applyFill="1" applyBorder="1" applyAlignment="1">
      <alignment horizontal="right" vertical="top" wrapText="1"/>
    </xf>
    <xf numFmtId="0" fontId="29" fillId="0" borderId="22" xfId="0" applyFont="1" applyBorder="1" applyAlignment="1">
      <alignment horizontal="center" vertical="top" wrapText="1"/>
    </xf>
    <xf numFmtId="0" fontId="29" fillId="0" borderId="25" xfId="0" applyFont="1" applyBorder="1" applyAlignment="1">
      <alignment horizontal="center" vertical="top" wrapText="1"/>
    </xf>
    <xf numFmtId="2" fontId="20" fillId="3" borderId="26" xfId="0" applyNumberFormat="1" applyFont="1" applyFill="1" applyBorder="1" applyAlignment="1">
      <alignment horizontal="right" vertical="top" wrapText="1"/>
    </xf>
    <xf numFmtId="2" fontId="20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21">
          <cell r="C21">
            <v>365.88400000000001</v>
          </cell>
          <cell r="D21">
            <v>59.290999999999997</v>
          </cell>
          <cell r="S21">
            <v>1.1599999999999999</v>
          </cell>
          <cell r="T21">
            <v>0.19</v>
          </cell>
          <cell r="V21">
            <v>68.86</v>
          </cell>
          <cell r="W21">
            <v>11.16</v>
          </cell>
          <cell r="AE21">
            <v>2.36</v>
          </cell>
          <cell r="AF21">
            <v>0.38</v>
          </cell>
          <cell r="AH21">
            <v>13.45</v>
          </cell>
          <cell r="AI21">
            <v>2.1800000000000002</v>
          </cell>
          <cell r="AN21">
            <v>9.0399999999999991</v>
          </cell>
          <cell r="AO21">
            <v>1.46</v>
          </cell>
          <cell r="AT21">
            <v>32.89</v>
          </cell>
          <cell r="AU21">
            <v>5.33</v>
          </cell>
          <cell r="BC21">
            <v>26.63</v>
          </cell>
          <cell r="BD21">
            <v>4.28</v>
          </cell>
          <cell r="BI21">
            <v>6.63</v>
          </cell>
          <cell r="BJ21">
            <v>1.07</v>
          </cell>
          <cell r="BO21">
            <v>14.63</v>
          </cell>
          <cell r="BP21">
            <v>2.37</v>
          </cell>
          <cell r="BU21">
            <v>1.22</v>
          </cell>
          <cell r="BV21">
            <v>0.2</v>
          </cell>
          <cell r="CG21">
            <v>47.83</v>
          </cell>
          <cell r="CH21">
            <v>7.75</v>
          </cell>
          <cell r="CJ21">
            <v>16.14</v>
          </cell>
          <cell r="CK21">
            <v>2.62</v>
          </cell>
          <cell r="DB21">
            <v>383789.64</v>
          </cell>
          <cell r="DC21">
            <v>62194.23</v>
          </cell>
          <cell r="DK21">
            <v>20450.79</v>
          </cell>
          <cell r="DL21">
            <v>3310.95</v>
          </cell>
          <cell r="DR21">
            <v>856.52</v>
          </cell>
          <cell r="DS21">
            <v>83.2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3" activePane="bottomRight" state="frozen"/>
      <selection pane="topRight" activeCell="I1" sqref="I1"/>
      <selection pane="bottomLeft" activeCell="A13" sqref="A13"/>
      <selection pane="bottomRight" activeCell="B5" sqref="B5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7" t="s">
        <v>0</v>
      </c>
      <c r="V4" s="188"/>
      <c r="W4" s="188"/>
      <c r="X4" s="188"/>
      <c r="Y4" s="188"/>
      <c r="Z4" s="188"/>
      <c r="AA4" s="188"/>
    </row>
    <row r="5" spans="1:27" ht="20.25">
      <c r="A5" s="1"/>
      <c r="U5" s="187" t="s">
        <v>150</v>
      </c>
      <c r="V5" s="188"/>
      <c r="W5" s="188"/>
      <c r="X5" s="188"/>
      <c r="Y5" s="188"/>
      <c r="Z5" s="188"/>
      <c r="AA5" s="188"/>
    </row>
    <row r="6" spans="1:27" ht="20.25">
      <c r="A6" s="1"/>
      <c r="U6" s="187" t="s">
        <v>145</v>
      </c>
      <c r="V6" s="188"/>
      <c r="W6" s="188"/>
      <c r="X6" s="188"/>
      <c r="Y6" s="188"/>
      <c r="Z6" s="188"/>
      <c r="AA6" s="18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71" t="s">
        <v>6</v>
      </c>
      <c r="E10" s="172"/>
      <c r="F10" s="172"/>
      <c r="G10" s="173"/>
      <c r="H10" s="171" t="s">
        <v>7</v>
      </c>
      <c r="I10" s="172"/>
      <c r="J10" s="172"/>
      <c r="K10" s="173"/>
      <c r="L10" s="171" t="s">
        <v>7</v>
      </c>
      <c r="M10" s="172"/>
      <c r="N10" s="172"/>
      <c r="O10" s="173"/>
      <c r="P10" s="171" t="s">
        <v>7</v>
      </c>
      <c r="Q10" s="172"/>
      <c r="R10" s="172"/>
      <c r="S10" s="173"/>
      <c r="T10" s="171" t="s">
        <v>12</v>
      </c>
      <c r="U10" s="172"/>
      <c r="V10" s="172"/>
      <c r="W10" s="172"/>
      <c r="X10" s="172"/>
      <c r="Y10" s="172"/>
      <c r="Z10" s="172"/>
      <c r="AA10" s="173"/>
    </row>
    <row r="11" spans="1:27" ht="23.25" thickBot="1">
      <c r="A11" s="116" t="s">
        <v>3</v>
      </c>
      <c r="B11" s="117"/>
      <c r="C11" s="117"/>
      <c r="D11" s="174"/>
      <c r="E11" s="186"/>
      <c r="F11" s="186"/>
      <c r="G11" s="176"/>
      <c r="H11" s="174" t="s">
        <v>8</v>
      </c>
      <c r="I11" s="175"/>
      <c r="J11" s="175"/>
      <c r="K11" s="176"/>
      <c r="L11" s="174" t="s">
        <v>9</v>
      </c>
      <c r="M11" s="175"/>
      <c r="N11" s="175"/>
      <c r="O11" s="176"/>
      <c r="P11" s="174" t="s">
        <v>10</v>
      </c>
      <c r="Q11" s="175"/>
      <c r="R11" s="175"/>
      <c r="S11" s="176"/>
      <c r="T11" s="183"/>
      <c r="U11" s="184"/>
      <c r="V11" s="184"/>
      <c r="W11" s="184"/>
      <c r="X11" s="184"/>
      <c r="Y11" s="184"/>
      <c r="Z11" s="184"/>
      <c r="AA11" s="185"/>
    </row>
    <row r="12" spans="1:27" ht="27.75" customHeight="1">
      <c r="A12" s="118"/>
      <c r="B12" s="117"/>
      <c r="C12" s="117"/>
      <c r="D12" s="174"/>
      <c r="E12" s="186"/>
      <c r="F12" s="186"/>
      <c r="G12" s="176"/>
      <c r="H12" s="177"/>
      <c r="I12" s="178"/>
      <c r="J12" s="178"/>
      <c r="K12" s="179"/>
      <c r="L12" s="177"/>
      <c r="M12" s="178"/>
      <c r="N12" s="178"/>
      <c r="O12" s="179"/>
      <c r="P12" s="174" t="s">
        <v>11</v>
      </c>
      <c r="Q12" s="175"/>
      <c r="R12" s="175"/>
      <c r="S12" s="176"/>
      <c r="T12" s="171" t="s">
        <v>13</v>
      </c>
      <c r="U12" s="172"/>
      <c r="V12" s="172"/>
      <c r="W12" s="173"/>
      <c r="X12" s="171" t="s">
        <v>13</v>
      </c>
      <c r="Y12" s="172"/>
      <c r="Z12" s="172"/>
      <c r="AA12" s="173"/>
    </row>
    <row r="13" spans="1:27" ht="22.5">
      <c r="A13" s="118"/>
      <c r="B13" s="117"/>
      <c r="C13" s="117"/>
      <c r="D13" s="174"/>
      <c r="E13" s="186"/>
      <c r="F13" s="186"/>
      <c r="G13" s="176"/>
      <c r="H13" s="177"/>
      <c r="I13" s="178"/>
      <c r="J13" s="178"/>
      <c r="K13" s="179"/>
      <c r="L13" s="177"/>
      <c r="M13" s="178"/>
      <c r="N13" s="178"/>
      <c r="O13" s="179"/>
      <c r="P13" s="177"/>
      <c r="Q13" s="178"/>
      <c r="R13" s="178"/>
      <c r="S13" s="179"/>
      <c r="T13" s="174" t="s">
        <v>10</v>
      </c>
      <c r="U13" s="175"/>
      <c r="V13" s="175"/>
      <c r="W13" s="176"/>
      <c r="X13" s="174" t="s">
        <v>14</v>
      </c>
      <c r="Y13" s="175"/>
      <c r="Z13" s="175"/>
      <c r="AA13" s="176"/>
    </row>
    <row r="14" spans="1:27" ht="21.75" customHeight="1" thickBot="1">
      <c r="A14" s="118"/>
      <c r="B14" s="117"/>
      <c r="C14" s="117"/>
      <c r="D14" s="183"/>
      <c r="E14" s="184"/>
      <c r="F14" s="184"/>
      <c r="G14" s="185"/>
      <c r="H14" s="180"/>
      <c r="I14" s="181"/>
      <c r="J14" s="181"/>
      <c r="K14" s="182"/>
      <c r="L14" s="180"/>
      <c r="M14" s="181"/>
      <c r="N14" s="181"/>
      <c r="O14" s="182"/>
      <c r="P14" s="180"/>
      <c r="Q14" s="181"/>
      <c r="R14" s="181"/>
      <c r="S14" s="182"/>
      <c r="T14" s="180"/>
      <c r="U14" s="181"/>
      <c r="V14" s="181"/>
      <c r="W14" s="182"/>
      <c r="X14" s="183" t="s">
        <v>15</v>
      </c>
      <c r="Y14" s="184"/>
      <c r="Z14" s="184"/>
      <c r="AA14" s="185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639.06000000000006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550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89.059999999999988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89.06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472.03000000000003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406.26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65.77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65.77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445.98</v>
      </c>
      <c r="H19" s="53">
        <v>0</v>
      </c>
      <c r="I19" s="53">
        <v>0</v>
      </c>
      <c r="J19" s="53">
        <v>0</v>
      </c>
      <c r="K19" s="72">
        <f>ROUND('[1]Витрати 20 -21'!$DB$21/1000,2)</f>
        <v>383.79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62.19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20 -21'!$DC$21/1000,2)</f>
        <v>62.19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23.759999999999998</v>
      </c>
      <c r="H20" s="53">
        <v>0</v>
      </c>
      <c r="I20" s="53">
        <v>0</v>
      </c>
      <c r="J20" s="53">
        <v>0</v>
      </c>
      <c r="K20" s="72">
        <f>ROUND('[1]Витрати 20 -21'!$DK$21/1000,2)</f>
        <v>20.45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3.31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20 -21'!$DL$21/1000,2)</f>
        <v>3.31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39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0.94</v>
      </c>
      <c r="H22" s="53">
        <v>0</v>
      </c>
      <c r="I22" s="53">
        <v>0</v>
      </c>
      <c r="J22" s="53">
        <v>0</v>
      </c>
      <c r="K22" s="72">
        <f>ROUND('[1]Витрати 20 -21'!$DR$21/1000,2)</f>
        <v>0.86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0.08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20 -21'!$DS$21/1000,2)</f>
        <v>0.08</v>
      </c>
    </row>
    <row r="23" spans="1:28" ht="24.75" customHeight="1" thickBot="1">
      <c r="A23" s="162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1.3499999999999999</v>
      </c>
      <c r="H23" s="53"/>
      <c r="I23" s="53"/>
      <c r="J23" s="53"/>
      <c r="K23" s="148">
        <f>ROUND('[1]Витрати 20 -21'!$S$21,2)</f>
        <v>1.1599999999999999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0.19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20 -21'!$T$21,2)</f>
        <v>0.19</v>
      </c>
    </row>
    <row r="24" spans="1:28" ht="30.75" customHeight="1" thickBot="1">
      <c r="A24" s="163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9"/>
      <c r="L24" s="136"/>
      <c r="M24" s="164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9"/>
    </row>
    <row r="25" spans="1:28" ht="21.75" customHeight="1" thickBot="1">
      <c r="A25" s="160">
        <v>1.2</v>
      </c>
      <c r="B25" s="49" t="s">
        <v>27</v>
      </c>
      <c r="C25" s="158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80.02</v>
      </c>
      <c r="H25" s="53"/>
      <c r="I25" s="53"/>
      <c r="J25" s="53"/>
      <c r="K25" s="148">
        <f>ROUND('[1]Витрати 20 -21'!$V$21,2)</f>
        <v>68.86</v>
      </c>
      <c r="L25" s="165">
        <v>0</v>
      </c>
      <c r="M25" s="167">
        <v>0</v>
      </c>
      <c r="N25" s="169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11.16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20 -21'!$W$21,2)</f>
        <v>11.16</v>
      </c>
    </row>
    <row r="26" spans="1:28" ht="32.25" customHeight="1" thickBot="1">
      <c r="A26" s="161"/>
      <c r="B26" s="50" t="s">
        <v>28</v>
      </c>
      <c r="C26" s="159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9"/>
      <c r="L26" s="166"/>
      <c r="M26" s="168"/>
      <c r="N26" s="170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35.980000000000004</v>
      </c>
      <c r="H27" s="53">
        <v>0</v>
      </c>
      <c r="I27" s="53">
        <v>0</v>
      </c>
      <c r="J27" s="53">
        <v>0</v>
      </c>
      <c r="K27" s="53">
        <f>ROUND(K28+K29+K30+K31,2)</f>
        <v>30.96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5.0199999999999996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5.0199999999999996</v>
      </c>
    </row>
    <row r="28" spans="1:28" ht="20.25" customHeight="1" thickBot="1">
      <c r="A28" s="156" t="s">
        <v>120</v>
      </c>
      <c r="B28" s="49" t="s">
        <v>30</v>
      </c>
      <c r="C28" s="158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17.61</v>
      </c>
      <c r="H28" s="53"/>
      <c r="I28" s="53"/>
      <c r="J28" s="53"/>
      <c r="K28" s="131">
        <f>ROUND(K25*22%,2)</f>
        <v>15.15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2.46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2.46</v>
      </c>
    </row>
    <row r="29" spans="1:28" ht="30" customHeight="1" thickBot="1">
      <c r="A29" s="157"/>
      <c r="B29" s="50" t="s">
        <v>31</v>
      </c>
      <c r="C29" s="159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2.7399999999999998</v>
      </c>
      <c r="H30" s="53">
        <v>0</v>
      </c>
      <c r="I30" s="53">
        <v>0</v>
      </c>
      <c r="J30" s="53">
        <v>0</v>
      </c>
      <c r="K30" s="72">
        <f>ROUND('[1]Витрати 20 -21'!$AE$21,2)</f>
        <v>2.36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0.38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20 -21'!$AF$21,2)</f>
        <v>0.38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15.629999999999999</v>
      </c>
      <c r="H31" s="53">
        <v>0</v>
      </c>
      <c r="I31" s="53">
        <v>0</v>
      </c>
      <c r="J31" s="53">
        <v>0</v>
      </c>
      <c r="K31" s="72">
        <f>ROUND('[1]Витрати 20 -21'!$AH$21,2)</f>
        <v>13.45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2.1800000000000002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20 -21'!$AI$21,2)</f>
        <v>2.1800000000000002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51.03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43.92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7.11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7.11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10.5</v>
      </c>
      <c r="H33" s="53">
        <v>0</v>
      </c>
      <c r="I33" s="53">
        <v>0</v>
      </c>
      <c r="J33" s="53">
        <v>0</v>
      </c>
      <c r="K33" s="72">
        <f>ROUND('[1]Витрати 20 -21'!$AN$21,2)</f>
        <v>9.0399999999999991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1.46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20 -21'!$AO$21,2)</f>
        <v>1.46</v>
      </c>
    </row>
    <row r="34" spans="1:27" ht="20.25">
      <c r="A34" s="154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2.31</v>
      </c>
      <c r="H34" s="131">
        <v>0</v>
      </c>
      <c r="I34" s="131">
        <v>0</v>
      </c>
      <c r="J34" s="131">
        <v>0</v>
      </c>
      <c r="K34" s="133">
        <f>ROUND(K33*22%,2)</f>
        <v>1.99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0.32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0.32</v>
      </c>
    </row>
    <row r="35" spans="1:27" ht="21" thickBot="1">
      <c r="A35" s="155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38.22</v>
      </c>
      <c r="H36" s="53">
        <v>0</v>
      </c>
      <c r="I36" s="53">
        <v>0</v>
      </c>
      <c r="J36" s="53">
        <v>0</v>
      </c>
      <c r="K36" s="72">
        <f>ROUND('[1]Витрати 20 -21'!$AT$21,2)</f>
        <v>32.89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5.33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20 -21'!$AU$21,2)</f>
        <v>5.33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43.930000000000007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37.840000000000003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6.09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6.09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29.900000000000002</v>
      </c>
      <c r="H38" s="53">
        <v>0</v>
      </c>
      <c r="I38" s="53">
        <v>0</v>
      </c>
      <c r="J38" s="53">
        <v>0</v>
      </c>
      <c r="K38" s="72">
        <f>ROUND('[1]Витрати 20 -21'!$BC$21-'Додаток 3'!H25,2)</f>
        <v>25.76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4.1399999999999997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20 -21'!$BD$21-'Додаток 3'!I25,2)</f>
        <v>4.1399999999999997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6.58</v>
      </c>
      <c r="H39" s="131">
        <v>0</v>
      </c>
      <c r="I39" s="131">
        <v>0</v>
      </c>
      <c r="J39" s="131">
        <v>0</v>
      </c>
      <c r="K39" s="133">
        <f>ROUND(K38*22%,2)</f>
        <v>5.67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0.91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0.91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7.45</v>
      </c>
      <c r="H41" s="53">
        <v>0</v>
      </c>
      <c r="I41" s="53">
        <v>0</v>
      </c>
      <c r="J41" s="53">
        <v>0</v>
      </c>
      <c r="K41" s="72">
        <f>ROUND('[1]Витрати 20 -21'!$BI$21-'Додаток 3'!H27,2)</f>
        <v>6.41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1.04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20 -21'!$BJ$21-'Додаток 3'!I27,2)</f>
        <v>1.04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39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33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3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34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4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39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682.99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587.84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95.149999999999991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95.15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104.36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89.8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14.56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14.56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18.78</v>
      </c>
      <c r="H52" s="79" t="s">
        <v>46</v>
      </c>
      <c r="I52" s="79" t="s">
        <v>46</v>
      </c>
      <c r="J52" s="53">
        <v>0</v>
      </c>
      <c r="K52" s="39">
        <f>ROUND(18%*(K53+K54+K55+K57)/82%,2)</f>
        <v>16.16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2.62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2.62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18.149999999999999</v>
      </c>
      <c r="H54" s="79" t="s">
        <v>46</v>
      </c>
      <c r="I54" s="79" t="s">
        <v>46</v>
      </c>
      <c r="J54" s="53">
        <v>0</v>
      </c>
      <c r="K54" s="72">
        <f>ROUND('[1]Витрати 20 -21'!$CJ$21-'Додаток 3'!H39,2)</f>
        <v>15.61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2.54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20 -21'!$CK$21-'Додаток 3'!I39,2)</f>
        <v>2.54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53.77</v>
      </c>
      <c r="H55" s="141" t="s">
        <v>46</v>
      </c>
      <c r="I55" s="141" t="s">
        <v>46</v>
      </c>
      <c r="J55" s="131">
        <v>0</v>
      </c>
      <c r="K55" s="148">
        <f>ROUND('[1]Витрати 20 -21'!$CG$21-'Додаток 3'!H40,2)</f>
        <v>46.27</v>
      </c>
      <c r="L55" s="150" t="s">
        <v>46</v>
      </c>
      <c r="M55" s="150" t="s">
        <v>46</v>
      </c>
      <c r="N55" s="135">
        <v>0</v>
      </c>
      <c r="O55" s="135">
        <v>0</v>
      </c>
      <c r="P55" s="152" t="s">
        <v>129</v>
      </c>
      <c r="Q55" s="141" t="s">
        <v>46</v>
      </c>
      <c r="R55" s="135">
        <f t="shared" si="9"/>
        <v>0</v>
      </c>
      <c r="S55" s="135">
        <f t="shared" si="10"/>
        <v>7.5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20 -21'!$CH$21-'Додаток 3'!I40,2)</f>
        <v>7.5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9"/>
      <c r="L56" s="151"/>
      <c r="M56" s="151"/>
      <c r="N56" s="136"/>
      <c r="O56" s="136"/>
      <c r="P56" s="153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13.66</v>
      </c>
      <c r="H57" s="79" t="s">
        <v>46</v>
      </c>
      <c r="I57" s="79" t="s">
        <v>46</v>
      </c>
      <c r="J57" s="53">
        <v>0</v>
      </c>
      <c r="K57" s="39">
        <f>ROUND(K49*2%,2)</f>
        <v>11.76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1.9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1.9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787.35</v>
      </c>
      <c r="H58" s="53">
        <v>0</v>
      </c>
      <c r="I58" s="53">
        <v>0</v>
      </c>
      <c r="J58" s="53">
        <v>0</v>
      </c>
      <c r="K58" s="53">
        <f>ROUND(K49+K51,2)</f>
        <v>677.64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109.71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109.71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1851.8257188216617</v>
      </c>
      <c r="H59" s="53">
        <v>0</v>
      </c>
      <c r="I59" s="53">
        <v>0</v>
      </c>
      <c r="J59" s="53">
        <v>0</v>
      </c>
      <c r="K59" s="53">
        <f>ROUND(K58/K62*1000,2)</f>
        <v>1852.06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1850.3700000000001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1850.37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1048.9327923796084</v>
      </c>
      <c r="H60" s="53">
        <v>0</v>
      </c>
      <c r="I60" s="53">
        <v>0</v>
      </c>
      <c r="J60" s="53">
        <v>0</v>
      </c>
      <c r="K60" s="53">
        <f>ROUND(K19/K62*1000,2)</f>
        <v>1048.94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1048.8900000000001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1048.8900000000001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802.89292644205329</v>
      </c>
      <c r="H61" s="53">
        <v>0</v>
      </c>
      <c r="I61" s="53">
        <v>0</v>
      </c>
      <c r="J61" s="53">
        <v>0</v>
      </c>
      <c r="K61" s="53">
        <f>ROUND(K59-K60,2)</f>
        <v>803.12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801.48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801.48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425.17500000000001</v>
      </c>
      <c r="H62" s="53">
        <v>0</v>
      </c>
      <c r="I62" s="53">
        <v>0</v>
      </c>
      <c r="J62" s="53">
        <v>0</v>
      </c>
      <c r="K62" s="87">
        <f>ROUND('[1]Витрати 20 -21'!$C$21,3)</f>
        <v>365.88400000000001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59.290999999999997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20 -21'!$D$21,3)</f>
        <v>59.290999999999997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425.17500000000001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365.88400000000001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59.290999999999997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59.290999999999997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1606.3738460633856</v>
      </c>
      <c r="H68" s="53">
        <v>0</v>
      </c>
      <c r="I68" s="53">
        <v>0</v>
      </c>
      <c r="J68" s="53">
        <v>0</v>
      </c>
      <c r="K68" s="53">
        <f>ROUND(K49/K67*1000,2)</f>
        <v>1606.63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1604.8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1604.8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7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6" t="s">
        <v>147</v>
      </c>
      <c r="B3" s="196"/>
      <c r="C3" s="196"/>
      <c r="D3" s="196"/>
      <c r="E3" s="196"/>
      <c r="F3" s="196"/>
      <c r="G3" s="196"/>
    </row>
    <row r="4" spans="1:9" ht="21" customHeight="1">
      <c r="A4" s="196" t="s">
        <v>148</v>
      </c>
      <c r="B4" s="196"/>
      <c r="C4" s="196"/>
      <c r="D4" s="196"/>
      <c r="E4" s="196"/>
      <c r="F4" s="196"/>
      <c r="G4" s="196"/>
    </row>
    <row r="5" spans="1:9" ht="21" customHeight="1">
      <c r="A5" s="196" t="s">
        <v>149</v>
      </c>
      <c r="B5" s="196"/>
      <c r="C5" s="196"/>
      <c r="D5" s="196"/>
      <c r="E5" s="196"/>
      <c r="F5" s="196"/>
      <c r="G5" s="196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7"/>
      <c r="B7" s="197"/>
      <c r="C7" s="197"/>
      <c r="D7" s="197"/>
      <c r="E7" s="197"/>
      <c r="F7" s="197"/>
      <c r="G7" s="197"/>
    </row>
    <row r="8" spans="1:9" ht="18.75" customHeight="1">
      <c r="A8" s="197" t="s">
        <v>152</v>
      </c>
      <c r="B8" s="197"/>
      <c r="C8" s="197"/>
      <c r="D8" s="197"/>
      <c r="E8" s="197"/>
      <c r="F8" s="197"/>
      <c r="G8" s="197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1.48</v>
      </c>
      <c r="H24" s="92">
        <f>ROUND(H25+H26+H27,2)</f>
        <v>1.28</v>
      </c>
      <c r="I24" s="92">
        <f>ROUND(I25+I26+I27,2)</f>
        <v>0.2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1.01</v>
      </c>
      <c r="H25" s="93">
        <f>ROUND('[1]Витрати 20 -21'!$BC$21*'[1]Витрати 20 -21'!$BL$28%,2)</f>
        <v>0.87</v>
      </c>
      <c r="I25" s="93">
        <f>ROUND('[1]Витрати 20 -21'!$BD$21*'[1]Витрати 20 -21'!$BM$28%,2)</f>
        <v>0.14000000000000001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0.22</v>
      </c>
      <c r="H26" s="92">
        <f>ROUND(H25*22%,2)</f>
        <v>0.19</v>
      </c>
      <c r="I26" s="92">
        <f>ROUND(I25*22%,2)</f>
        <v>0.03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0.25</v>
      </c>
      <c r="H27" s="93">
        <f>ROUND('[1]Витрати 20 -21'!$BI$21*'[1]Витрати 20 -21'!$BL$28%,2)</f>
        <v>0.22</v>
      </c>
      <c r="I27" s="97">
        <f>ROUND('[1]Витрати 20 -21'!$BJ$21*'[1]Витрати 20 -21'!$BM$28%,2)</f>
        <v>0.03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22.16</v>
      </c>
      <c r="H28" s="92">
        <f>ROUND(H29+H30+H31,2)</f>
        <v>19.07</v>
      </c>
      <c r="I28" s="92">
        <f>ROUND(I29+I30+I31,2)</f>
        <v>3.09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17</v>
      </c>
      <c r="H29" s="93">
        <f>ROUND('[1]Витрати 20 -21'!$BO$21,2)</f>
        <v>14.63</v>
      </c>
      <c r="I29" s="93">
        <f>ROUND('[1]Витрати 20 -21'!$BP$21,2)</f>
        <v>2.37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3.74</v>
      </c>
      <c r="H30" s="92">
        <f>ROUND(H29*22%,2)</f>
        <v>3.22</v>
      </c>
      <c r="I30" s="92">
        <f>ROUND(I29*22%,2)</f>
        <v>0.52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1.42</v>
      </c>
      <c r="H31" s="93">
        <f>ROUND('[1]Витрати 20 -21'!$BU$21,2)</f>
        <v>1.22</v>
      </c>
      <c r="I31" s="93">
        <f>ROUND('[1]Витрати 20 -21'!$BV$21,2)</f>
        <v>0.2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23.64</v>
      </c>
      <c r="H34" s="92">
        <f>ROUND(H13+H24+H28+H32+H33,2)</f>
        <v>20.350000000000001</v>
      </c>
      <c r="I34" s="92">
        <f>ROUND(I13+I24+I28+I32+I33,2)</f>
        <v>3.29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3.54</v>
      </c>
      <c r="H36" s="92">
        <f>ROUND(H37+H38+H39+H40+H41,2)</f>
        <v>3.05</v>
      </c>
      <c r="I36" s="92">
        <f>ROUND(I37+I38+I39+I40+I41,2)</f>
        <v>0.49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0.64</v>
      </c>
      <c r="H37" s="95">
        <f>ROUND(18%*(H38+H39+H40+H41)/82%,2)</f>
        <v>0.55000000000000004</v>
      </c>
      <c r="I37" s="95">
        <f>ROUND(18%*(I38+I39+I40+I41)/82%,2)</f>
        <v>0.09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0.61</v>
      </c>
      <c r="H39" s="93">
        <f>ROUND('[1]Витрати 20 -21'!$CJ$21*'[1]Витрати 20 -21'!$BL$28%,2)</f>
        <v>0.53</v>
      </c>
      <c r="I39" s="93">
        <f>ROUND('[1]Витрати 20 -21'!$CK$21*'[1]Витрати 20 -21'!$BM$28%,2)</f>
        <v>0.08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1.81</v>
      </c>
      <c r="H40" s="93">
        <f>ROUND('[1]Витрати 20 -21'!$CG$21*'[1]Витрати 20 -21'!$BL$28%,2)</f>
        <v>1.56</v>
      </c>
      <c r="I40" s="93">
        <f>ROUND('[1]Витрати 20 -21'!$CH$21*'[1]Витрати 20 -21'!$BM$28%,2)</f>
        <v>0.25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0.48</v>
      </c>
      <c r="H41" s="92">
        <f>ROUND(H34*2%,2)</f>
        <v>0.41</v>
      </c>
      <c r="I41" s="92">
        <f>ROUND(I34*2%,2)</f>
        <v>7.0000000000000007E-2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27.18</v>
      </c>
      <c r="H42" s="92">
        <f>ROUND(H34+H36,2)</f>
        <v>23.4</v>
      </c>
      <c r="I42" s="92">
        <f>ROUND(I34+I36,2)</f>
        <v>3.78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63.926618451225963</v>
      </c>
      <c r="H43" s="92">
        <f>ROUND(H42/H44*1000,2)</f>
        <v>63.95</v>
      </c>
      <c r="I43" s="92">
        <f>ROUND(I42/I44*1000,2)</f>
        <v>63.75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425.17500000000001</v>
      </c>
      <c r="H44" s="101">
        <f>ROUND('Додаток 1'!K67,3)</f>
        <v>365.88400000000001</v>
      </c>
      <c r="I44" s="101">
        <f>ROUND('Додаток 1'!AA67,3)</f>
        <v>59.290999999999997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365.88</v>
      </c>
      <c r="H45" s="92">
        <f>ROUND(H44,2)</f>
        <v>365.88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59.290999999999997</v>
      </c>
      <c r="H48" s="92">
        <v>0</v>
      </c>
      <c r="I48" s="100">
        <f>I44</f>
        <v>59.290999999999997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7" zoomScale="60" workbookViewId="0">
      <selection activeCell="D8" sqref="D8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7" t="s">
        <v>153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</row>
    <row r="7" spans="1:12" ht="25.5" customHeight="1">
      <c r="A7" s="197" t="s">
        <v>154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8" t="s">
        <v>69</v>
      </c>
      <c r="C9" s="198" t="s">
        <v>89</v>
      </c>
      <c r="D9" s="200" t="s">
        <v>5</v>
      </c>
      <c r="E9" s="201"/>
      <c r="F9" s="198" t="s">
        <v>6</v>
      </c>
      <c r="G9" s="204" t="s">
        <v>90</v>
      </c>
      <c r="H9" s="205"/>
      <c r="I9" s="205"/>
      <c r="J9" s="205"/>
      <c r="K9" s="206"/>
      <c r="L9" s="5"/>
    </row>
    <row r="10" spans="1:12" ht="58.5" customHeight="1" thickBot="1">
      <c r="A10" s="107"/>
      <c r="B10" s="199"/>
      <c r="C10" s="199"/>
      <c r="D10" s="202"/>
      <c r="E10" s="203"/>
      <c r="F10" s="199"/>
      <c r="G10" s="204" t="s">
        <v>82</v>
      </c>
      <c r="H10" s="206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7">
        <v>3</v>
      </c>
      <c r="E11" s="208"/>
      <c r="F11" s="18">
        <v>4</v>
      </c>
      <c r="G11" s="207">
        <v>5</v>
      </c>
      <c r="H11" s="20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9" t="s">
        <v>53</v>
      </c>
      <c r="E12" s="210"/>
      <c r="F12" s="70">
        <f>ROUND('Додаток 1'!G59,2)</f>
        <v>1851.83</v>
      </c>
      <c r="G12" s="211">
        <f>ROUND('Додаток 1'!K59,2)</f>
        <v>1852.06</v>
      </c>
      <c r="H12" s="212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1850.37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3" t="s">
        <v>53</v>
      </c>
      <c r="E13" s="214"/>
      <c r="F13" s="53">
        <f>('Додаток 1'!G49)/F37*1000</f>
        <v>1606.3738460633856</v>
      </c>
      <c r="G13" s="215">
        <f>('Додаток 1'!K49)/G37*1000</f>
        <v>1606.6294235331418</v>
      </c>
      <c r="H13" s="216"/>
      <c r="I13" s="53">
        <v>0</v>
      </c>
      <c r="J13" s="53">
        <v>0</v>
      </c>
      <c r="K13" s="55">
        <f>('Додаток 1'!AA49)/K37*1000</f>
        <v>1604.7966807778587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3" t="s">
        <v>21</v>
      </c>
      <c r="E14" s="214"/>
      <c r="F14" s="39">
        <v>0</v>
      </c>
      <c r="G14" s="217">
        <v>0</v>
      </c>
      <c r="H14" s="218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3" t="s">
        <v>53</v>
      </c>
      <c r="E15" s="214"/>
      <c r="F15" s="53">
        <f>F12-F13</f>
        <v>245.45615393661433</v>
      </c>
      <c r="G15" s="219">
        <f>G12-G13</f>
        <v>245.43057646685816</v>
      </c>
      <c r="H15" s="220"/>
      <c r="I15" s="53">
        <v>0</v>
      </c>
      <c r="J15" s="53">
        <v>0</v>
      </c>
      <c r="K15" s="53">
        <f>K12-K13</f>
        <v>245.57331922214121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9" t="s">
        <v>53</v>
      </c>
      <c r="E16" s="210"/>
      <c r="F16" s="70">
        <f>F17+F18+F19</f>
        <v>0</v>
      </c>
      <c r="G16" s="211">
        <f t="shared" ref="G16:K16" si="1">G17+G18+G19</f>
        <v>0</v>
      </c>
      <c r="H16" s="212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3" t="s">
        <v>53</v>
      </c>
      <c r="E17" s="214"/>
      <c r="F17" s="39">
        <f>G17+I17+J17+K17</f>
        <v>0</v>
      </c>
      <c r="G17" s="217">
        <v>0</v>
      </c>
      <c r="H17" s="218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3" t="s">
        <v>21</v>
      </c>
      <c r="E18" s="214"/>
      <c r="F18" s="39">
        <f>G18+I18+J18+K18</f>
        <v>0</v>
      </c>
      <c r="G18" s="217">
        <v>0</v>
      </c>
      <c r="H18" s="218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3" t="s">
        <v>53</v>
      </c>
      <c r="E19" s="214"/>
      <c r="F19" s="39">
        <f>G19+I19+J19+K19</f>
        <v>0</v>
      </c>
      <c r="G19" s="217">
        <v>0</v>
      </c>
      <c r="H19" s="218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9" t="s">
        <v>53</v>
      </c>
      <c r="E20" s="210"/>
      <c r="F20" s="70">
        <f>ROUND('Додаток 3'!G43,2)</f>
        <v>63.93</v>
      </c>
      <c r="G20" s="211">
        <f>ROUND('Додаток 3'!H43,2)</f>
        <v>63.95</v>
      </c>
      <c r="H20" s="212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63.75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3" t="s">
        <v>53</v>
      </c>
      <c r="E21" s="214"/>
      <c r="F21" s="53">
        <f>('Додаток 3'!G34)/F37*1000</f>
        <v>55.600635032633619</v>
      </c>
      <c r="G21" s="215">
        <f>('Додаток 3'!H34)/G37*1000</f>
        <v>55.618720687430994</v>
      </c>
      <c r="H21" s="216"/>
      <c r="I21" s="53">
        <v>0</v>
      </c>
      <c r="J21" s="53">
        <v>0</v>
      </c>
      <c r="K21" s="53">
        <f>('Додаток 3'!I34)/K37*1000</f>
        <v>55.48902868900845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3" t="s">
        <v>21</v>
      </c>
      <c r="E22" s="214"/>
      <c r="F22" s="39">
        <f t="shared" ref="F22:F26" si="3">G22+I22+J22+K22</f>
        <v>0</v>
      </c>
      <c r="G22" s="217">
        <v>0</v>
      </c>
      <c r="H22" s="218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3" t="s">
        <v>53</v>
      </c>
      <c r="E23" s="214"/>
      <c r="F23" s="53">
        <f>F20-F21</f>
        <v>8.3293649673663808</v>
      </c>
      <c r="G23" s="219">
        <f>G20-G21</f>
        <v>8.3312793125690092</v>
      </c>
      <c r="H23" s="220"/>
      <c r="I23" s="53">
        <v>0</v>
      </c>
      <c r="J23" s="53">
        <v>0</v>
      </c>
      <c r="K23" s="53">
        <f>K20-K21</f>
        <v>8.2609713109915504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9" t="s">
        <v>53</v>
      </c>
      <c r="E24" s="210"/>
      <c r="F24" s="70">
        <f>F12+F16+F20</f>
        <v>1915.76</v>
      </c>
      <c r="G24" s="211">
        <f>G12+G16+G20</f>
        <v>1916.01</v>
      </c>
      <c r="H24" s="212"/>
      <c r="I24" s="70">
        <f t="shared" ref="I24:J24" si="4">I12+I20</f>
        <v>0</v>
      </c>
      <c r="J24" s="70">
        <f t="shared" si="4"/>
        <v>0</v>
      </c>
      <c r="K24" s="70">
        <f>K12+K16+K20</f>
        <v>1914.12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3" t="s">
        <v>53</v>
      </c>
      <c r="E25" s="214"/>
      <c r="F25" s="39">
        <f>F13+F17+F21</f>
        <v>1661.9744810960192</v>
      </c>
      <c r="G25" s="221">
        <f>G13+G17+G21</f>
        <v>1662.2481442205728</v>
      </c>
      <c r="H25" s="222"/>
      <c r="I25" s="39">
        <f t="shared" ref="I25:K25" si="5">I13+I17+I21</f>
        <v>0</v>
      </c>
      <c r="J25" s="39">
        <f t="shared" si="5"/>
        <v>0</v>
      </c>
      <c r="K25" s="39">
        <f t="shared" si="5"/>
        <v>1660.285709466867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3" t="s">
        <v>21</v>
      </c>
      <c r="E26" s="214"/>
      <c r="F26" s="39">
        <f t="shared" si="3"/>
        <v>0</v>
      </c>
      <c r="G26" s="217">
        <f>G14+G18+G22</f>
        <v>0</v>
      </c>
      <c r="H26" s="218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3" t="s">
        <v>53</v>
      </c>
      <c r="E27" s="214"/>
      <c r="F27" s="39">
        <f>F15+F19+F23</f>
        <v>253.78551890398072</v>
      </c>
      <c r="G27" s="221">
        <f>G15+G19+G23</f>
        <v>253.76185577942715</v>
      </c>
      <c r="H27" s="222"/>
      <c r="I27" s="39">
        <v>0</v>
      </c>
      <c r="J27" s="39">
        <f t="shared" ref="J27" si="6">J24-J25-J26</f>
        <v>0</v>
      </c>
      <c r="K27" s="39">
        <f>K15+K19+K23</f>
        <v>253.83429053313276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3" t="s">
        <v>21</v>
      </c>
      <c r="E28" s="214"/>
      <c r="F28" s="39">
        <f>F29+F30+F31</f>
        <v>814.53000000000009</v>
      </c>
      <c r="G28" s="223">
        <f>G29+G30+G31</f>
        <v>701.04000000000008</v>
      </c>
      <c r="H28" s="224"/>
      <c r="I28" s="83">
        <f t="shared" ref="I28:J29" si="7">I29+I30+I31</f>
        <v>0</v>
      </c>
      <c r="J28" s="83">
        <f t="shared" si="7"/>
        <v>0</v>
      </c>
      <c r="K28" s="83">
        <f>K29+K30+K31</f>
        <v>113.49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3" t="s">
        <v>21</v>
      </c>
      <c r="E29" s="214"/>
      <c r="F29" s="83">
        <f>G29+K29</f>
        <v>706.63000000000011</v>
      </c>
      <c r="G29" s="225">
        <f>ROUND('Додаток 1'!K49+'Додаток 3'!H34,2)</f>
        <v>608.19000000000005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98.44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3" t="s">
        <v>21</v>
      </c>
      <c r="E30" s="214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3" t="s">
        <v>21</v>
      </c>
      <c r="E31" s="214"/>
      <c r="F31" s="83">
        <f>G31+K31</f>
        <v>107.89999999999999</v>
      </c>
      <c r="G31" s="225">
        <f>ROUND('Додаток 1'!K51+'Додаток 3'!H36,2)</f>
        <v>92.85</v>
      </c>
      <c r="H31" s="226"/>
      <c r="I31" s="83">
        <v>0</v>
      </c>
      <c r="J31" s="83">
        <v>0</v>
      </c>
      <c r="K31" s="77">
        <f>ROUND('Додаток 1'!AA51+'Додаток 3'!I36,2)</f>
        <v>15.05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3" t="s">
        <v>21</v>
      </c>
      <c r="E32" s="214"/>
      <c r="F32" s="39">
        <f>F33+F34+F35</f>
        <v>814.53000000000009</v>
      </c>
      <c r="G32" s="221">
        <f t="shared" ref="G32:K32" si="8">G28</f>
        <v>701.04000000000008</v>
      </c>
      <c r="H32" s="222"/>
      <c r="I32" s="39">
        <v>0</v>
      </c>
      <c r="J32" s="39">
        <v>0</v>
      </c>
      <c r="K32" s="39">
        <f t="shared" si="8"/>
        <v>113.49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3" t="s">
        <v>21</v>
      </c>
      <c r="E33" s="214"/>
      <c r="F33" s="39">
        <f>F29</f>
        <v>706.63000000000011</v>
      </c>
      <c r="G33" s="221">
        <f t="shared" ref="G33:K33" si="9">G29</f>
        <v>608.19000000000005</v>
      </c>
      <c r="H33" s="222"/>
      <c r="I33" s="39">
        <f t="shared" si="9"/>
        <v>0</v>
      </c>
      <c r="J33" s="39">
        <f t="shared" si="9"/>
        <v>0</v>
      </c>
      <c r="K33" s="39">
        <f t="shared" si="9"/>
        <v>98.44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3" t="s">
        <v>21</v>
      </c>
      <c r="E34" s="214"/>
      <c r="F34" s="39">
        <v>0</v>
      </c>
      <c r="G34" s="217">
        <v>0</v>
      </c>
      <c r="H34" s="218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3" t="s">
        <v>21</v>
      </c>
      <c r="E35" s="214"/>
      <c r="F35" s="39">
        <f>F31</f>
        <v>107.89999999999999</v>
      </c>
      <c r="G35" s="221">
        <f t="shared" ref="G35:K35" si="10">G32-G33-G34</f>
        <v>92.850000000000023</v>
      </c>
      <c r="H35" s="222"/>
      <c r="I35" s="39">
        <f t="shared" si="10"/>
        <v>0</v>
      </c>
      <c r="J35" s="39">
        <f t="shared" si="10"/>
        <v>0</v>
      </c>
      <c r="K35" s="39">
        <f t="shared" si="10"/>
        <v>15.049999999999997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3" t="s">
        <v>57</v>
      </c>
      <c r="E36" s="214"/>
      <c r="F36" s="40">
        <f>F37+F38</f>
        <v>425.17500000000001</v>
      </c>
      <c r="G36" s="229">
        <f t="shared" ref="G36:K36" si="11">G37+G38</f>
        <v>365.88400000000001</v>
      </c>
      <c r="H36" s="230"/>
      <c r="I36" s="40">
        <f t="shared" si="11"/>
        <v>0</v>
      </c>
      <c r="J36" s="40">
        <f t="shared" si="11"/>
        <v>0</v>
      </c>
      <c r="K36" s="40">
        <f t="shared" si="11"/>
        <v>59.290999999999997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3" t="s">
        <v>57</v>
      </c>
      <c r="E37" s="214"/>
      <c r="F37" s="40">
        <f>G37+K37</f>
        <v>425.17500000000001</v>
      </c>
      <c r="G37" s="231">
        <f>'Додаток 1'!K67</f>
        <v>365.88400000000001</v>
      </c>
      <c r="H37" s="232"/>
      <c r="I37" s="40">
        <v>0</v>
      </c>
      <c r="J37" s="40">
        <v>0</v>
      </c>
      <c r="K37" s="99">
        <f>'Додаток 1'!AA67</f>
        <v>59.290999999999997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3" t="s">
        <v>57</v>
      </c>
      <c r="E38" s="214"/>
      <c r="F38" s="40">
        <v>0</v>
      </c>
      <c r="G38" s="233">
        <v>0</v>
      </c>
      <c r="H38" s="23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5"/>
      <c r="E39" s="236"/>
      <c r="F39" s="86" t="s">
        <v>129</v>
      </c>
      <c r="G39" s="237" t="s">
        <v>129</v>
      </c>
      <c r="H39" s="23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3" t="s">
        <v>111</v>
      </c>
      <c r="E40" s="214"/>
      <c r="F40" s="83">
        <f>F15/F13*100</f>
        <v>15.280138838050339</v>
      </c>
      <c r="G40" s="223">
        <f t="shared" ref="G40:K40" si="12">G15/G13*100</f>
        <v>15.276116126837222</v>
      </c>
      <c r="H40" s="224"/>
      <c r="I40" s="83">
        <v>0</v>
      </c>
      <c r="J40" s="83">
        <v>0</v>
      </c>
      <c r="K40" s="83">
        <f t="shared" si="12"/>
        <v>15.302456826064079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3" t="s">
        <v>111</v>
      </c>
      <c r="E41" s="214"/>
      <c r="F41" s="83">
        <v>0</v>
      </c>
      <c r="G41" s="223">
        <v>0</v>
      </c>
      <c r="H41" s="224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40" t="s">
        <v>111</v>
      </c>
      <c r="E42" s="158"/>
      <c r="F42" s="84">
        <f>F23/F21*100</f>
        <v>14.980701142131982</v>
      </c>
      <c r="G42" s="241">
        <f t="shared" ref="G42:K42" si="13">G23/G21*100</f>
        <v>14.97927174447174</v>
      </c>
      <c r="H42" s="242"/>
      <c r="I42" s="84">
        <v>0</v>
      </c>
      <c r="J42" s="84">
        <v>0</v>
      </c>
      <c r="K42" s="84">
        <f t="shared" si="13"/>
        <v>14.887575987841945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3" t="s">
        <v>111</v>
      </c>
      <c r="E43" s="244"/>
      <c r="F43" s="85">
        <f>F27/F25*100</f>
        <v>15.270121279877729</v>
      </c>
      <c r="G43" s="245">
        <f t="shared" ref="G43:K43" si="14">G27/G25*100</f>
        <v>15.266183732057401</v>
      </c>
      <c r="H43" s="246"/>
      <c r="I43" s="85">
        <v>0</v>
      </c>
      <c r="J43" s="85">
        <v>0</v>
      </c>
      <c r="K43" s="85">
        <f t="shared" si="14"/>
        <v>15.288590938642798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7" t="s">
        <v>134</v>
      </c>
      <c r="C45" s="247"/>
      <c r="D45" s="247"/>
      <c r="E45" s="247"/>
      <c r="F45" s="24"/>
      <c r="G45" s="24"/>
      <c r="H45" s="29"/>
      <c r="I45" s="29"/>
      <c r="J45" s="29"/>
      <c r="K45" s="29"/>
      <c r="L45" s="30"/>
    </row>
    <row r="46" spans="1:12" ht="21.75" customHeight="1">
      <c r="A46" s="248" t="s">
        <v>155</v>
      </c>
      <c r="B46" s="248"/>
      <c r="C46" s="248"/>
      <c r="D46" s="248"/>
      <c r="E46" s="249"/>
      <c r="F46" s="249"/>
      <c r="G46" s="249"/>
      <c r="H46" s="239" t="s">
        <v>133</v>
      </c>
      <c r="I46" s="239"/>
      <c r="J46" s="239"/>
      <c r="K46" s="239"/>
      <c r="L46" s="239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2021-05-31T13:23:52Z</dcterms:modified>
</cp:coreProperties>
</file>