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AA31" i="1" l="1"/>
  <c r="I40" i="2"/>
  <c r="AA55" i="1" s="1"/>
  <c r="I39" i="2"/>
  <c r="I31" i="2"/>
  <c r="I29" i="2"/>
  <c r="I27" i="2"/>
  <c r="AA41" i="1" s="1"/>
  <c r="I25" i="2"/>
  <c r="AA38" i="1" s="1"/>
  <c r="H40" i="2"/>
  <c r="K55" i="1" s="1"/>
  <c r="H39" i="2"/>
  <c r="K54" i="1" s="1"/>
  <c r="H31" i="2"/>
  <c r="H29" i="2"/>
  <c r="H27" i="2"/>
  <c r="K41" i="1" s="1"/>
  <c r="K38" i="1"/>
  <c r="AA62" i="1"/>
  <c r="AA54" i="1"/>
  <c r="AA36" i="1"/>
  <c r="AA33" i="1"/>
  <c r="AA30" i="1"/>
  <c r="AA25" i="1"/>
  <c r="AA23" i="1"/>
  <c r="AA22" i="1"/>
  <c r="AA20" i="1"/>
  <c r="AA19" i="1"/>
  <c r="K62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H34" i="2" s="1"/>
  <c r="G25" i="2"/>
  <c r="I28" i="2"/>
  <c r="I24" i="2"/>
  <c r="I34" i="2" l="1"/>
  <c r="I41" i="2" s="1"/>
  <c r="I37" i="2" s="1"/>
  <c r="I36" i="2" s="1"/>
  <c r="I42" i="2" s="1"/>
  <c r="I43" i="2" s="1"/>
  <c r="K20" i="3" s="1"/>
  <c r="H41" i="2"/>
  <c r="H37" i="2" s="1"/>
  <c r="H36" i="2" s="1"/>
  <c r="H42" i="2" s="1"/>
  <c r="H43" i="2" s="1"/>
  <c r="G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<sst xmlns="http://schemas.openxmlformats.org/spreadsheetml/2006/main" count="421" uniqueCount="159">
  <si>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</si>
  <si>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</si>
  <si>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</si>
  <si>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</si>
  <si>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</si>
  <si>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</si>
  <si>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</si>
  <si>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</si>
  <si>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</si>
  <si>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</si>
  <si>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</si>
  <si>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</si>
  <si>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</si>
  <si>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</si>
  <si>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</si>
  <si>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</si>
  <si>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</si>
  <si>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</si>
  <si>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</si>
  <si>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</si>
  <si>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</si>
  <si>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</si>
  <si>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</si>
  <si>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</si>
  <si>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</si>
  <si>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</si>
  <si>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</si>
  <si>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</si>
  <si>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</si>
  <si>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</si>
  <si>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</si>
  <si>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</si>
  <si>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</si>
  <si>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</si>
  <si>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</si>
  <si>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</si>
  <si>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</si>
  <si>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</si>
  <si>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</si>
  <si>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</si>
  <si>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</si>
  <si>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</si>
  <si>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</si>
  <si>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</si>
  <si>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</si>
  <si>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</si>
  <si>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</si>
  <si>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</si>
  <si>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</si>
  <si>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</si>
  <si>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</si>
  <si>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</si>
  <si>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</si>
  <si>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</si>
  <si>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</si>
  <si>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</si>
  <si>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</si>
  <si>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</si>
  <si>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</si>
  <si>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</si>
  <si>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</si>
  <si>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</si>
  <si>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</si>
  <si>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</si>
  <si>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</si>
  <si>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</si>
  <si>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</si>
  <si>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</si>
  <si>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</si>
  <si>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</si>
  <si>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</si>
  <si>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</si>
  <si>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</si>
  <si>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</si>
  <si>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</si>
  <si>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</si>
  <si>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</si>
  <si>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</si>
  <si>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</si>
  <si>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</si>
  <si>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</si>
  <si>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</si>
  <si>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</si>
  <si>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</si>
  <si>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</si>
  <si>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</si>
  <si>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</si>
  <si>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</si>
  <si>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</si>
  <si>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</si>
  <si>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</si>
  <si>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</si>
  <si>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</si>
  <si>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</si>
  <si>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</si>
  <si>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</si>
  <si>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</si>
  <si>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</si>
  <si>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</si>
  <si>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</si>
  <si>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</si>
  <si>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</si>
  <si>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</si>
  <si>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</si>
  <si>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</si>
  <si>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</si>
  <si>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</si>
  <si>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</si>
  <si>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</si>
  <si>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</si>
  <si>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</si>
  <si>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</si>
  <si>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</si>
  <si>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</si>
  <si>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</si>
  <si>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</si>
  <si>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</si>
  <si>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</si>
  <si>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</si>
  <si>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</si>
  <si>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</si>
  <si>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</si>
  <si>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</si>
  <si>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</si>
  <si>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</si>
  <si>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</si>
  <si>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</si>
  <si>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</si>
  <si>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</si>
  <si>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</si>
  <si>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</si>
  <si>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</si>
  <si>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</si>
  <si>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</si>
  <si>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</si>
  <si>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</si>
  <si>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</si>
  <si>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</si>
  <si>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</si>
  <si>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</si>
  <si>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</si>
  <si>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</si>
  <si>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</si>
  <si>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</si>
  <si>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</si>
  <si>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</si>
  <si>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</si>
  <si>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</si>
  <si>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</si>
  <si>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</si>
  <si>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</si>
  <si>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</si>
  <si>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</si>
  <si>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</si>
  <si>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</si>
  <si>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</si>
  <si>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за адресою: м.Вишневе  вул. Святошинська 27Г</t>
  </si>
  <si>
    <t xml:space="preserve">          за адресою: м.Вишневе  вул. Святошнська 27Г</t>
  </si>
  <si>
    <t xml:space="preserve">             за адресою: м.Вишневе  вул. Святошинська 27Г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</si>
</sst>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7" fillId="0" borderId="0" xfId="0" applyFont="1" applyAlignment="1"/>
    <xf numFmtId="0" fontId="0" fillId="0" borderId="0" xfId="0" applyAlignment="1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center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8">
          <cell r="C8">
            <v>936.95899999999995</v>
          </cell>
          <cell r="D8">
            <v>188.767</v>
          </cell>
          <cell r="S8">
            <v>2.97</v>
          </cell>
          <cell r="T8">
            <v>0.6</v>
          </cell>
          <cell r="V8">
            <v>176.35</v>
          </cell>
          <cell r="W8">
            <v>35.53</v>
          </cell>
          <cell r="AE8">
            <v>6.05</v>
          </cell>
          <cell r="AF8">
            <v>1.22</v>
          </cell>
          <cell r="AH8">
            <v>34.44</v>
          </cell>
          <cell r="AI8">
            <v>6.94</v>
          </cell>
          <cell r="AN8">
            <v>23.15</v>
          </cell>
          <cell r="AO8">
            <v>4.66</v>
          </cell>
          <cell r="AT8">
            <v>84.23</v>
          </cell>
          <cell r="AU8">
            <v>16.97</v>
          </cell>
          <cell r="BC8">
            <v>71.08</v>
          </cell>
          <cell r="BD8">
            <v>14.23</v>
          </cell>
          <cell r="BI8">
            <v>17.690000000000001</v>
          </cell>
          <cell r="BJ8">
            <v>3.54</v>
          </cell>
          <cell r="BO8">
            <v>37.47</v>
          </cell>
          <cell r="BP8">
            <v>7.55</v>
          </cell>
          <cell r="BU8">
            <v>3.13</v>
          </cell>
          <cell r="BV8">
            <v>0.63</v>
          </cell>
          <cell r="CG8">
            <v>0</v>
          </cell>
          <cell r="CH8">
            <v>0</v>
          </cell>
          <cell r="CJ8">
            <v>41.33</v>
          </cell>
          <cell r="CK8">
            <v>8.33</v>
          </cell>
          <cell r="DB8">
            <v>1038356.88</v>
          </cell>
          <cell r="DC8">
            <v>209241.51</v>
          </cell>
          <cell r="DK8">
            <v>57802.06</v>
          </cell>
          <cell r="DL8">
            <v>12049.74</v>
          </cell>
          <cell r="DR8">
            <v>2636.82</v>
          </cell>
          <cell r="DS8">
            <v>256.14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4" activePane="bottomRight" state="frozen"/>
      <selection pane="topRight" activeCell="I1" sqref="I1"/>
      <selection pane="bottomLeft" activeCell="A13" sqref="A13"/>
      <selection pane="bottomRight" activeCell="AA62" sqref="AA62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4.85546875" customWidth="1"/>
  </cols>
  <sheetData>
    <row r="4" spans="1:27" ht="20.25">
      <c r="A4" s="1"/>
      <c r="U4" s="127" t="s">
        <v>0</v>
      </c>
      <c r="V4" s="128"/>
      <c r="W4" s="128"/>
      <c r="X4" s="128"/>
      <c r="Y4" s="128"/>
      <c r="Z4" s="128"/>
      <c r="AA4" s="128"/>
    </row>
    <row r="5" spans="1:27" ht="20.25">
      <c r="A5" s="1"/>
      <c r="U5" s="127" t="s">
        <v>150</v>
      </c>
      <c r="V5" s="128"/>
      <c r="W5" s="128"/>
      <c r="X5" s="128"/>
      <c r="Y5" s="128"/>
      <c r="Z5" s="128"/>
      <c r="AA5" s="128"/>
    </row>
    <row r="6" spans="1:27" ht="20.25">
      <c r="A6" s="1"/>
      <c r="U6" s="127" t="s">
        <v>145</v>
      </c>
      <c r="V6" s="128"/>
      <c r="W6" s="128"/>
      <c r="X6" s="128"/>
      <c r="Y6" s="128"/>
      <c r="Z6" s="128"/>
      <c r="AA6" s="12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85" t="s">
        <v>151</v>
      </c>
      <c r="I8" s="186"/>
      <c r="J8" s="186"/>
      <c r="K8" s="186"/>
      <c r="L8" s="186"/>
      <c r="M8" s="186"/>
      <c r="N8" s="186"/>
    </row>
    <row r="9" spans="1:27" ht="29.25" customHeight="1" thickBot="1">
      <c r="H9" s="183" t="s">
        <v>156</v>
      </c>
      <c r="I9" s="183"/>
      <c r="J9" s="183"/>
      <c r="K9" s="183"/>
      <c r="L9" s="183"/>
      <c r="M9" s="184"/>
      <c r="N9" s="184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33" t="s">
        <v>6</v>
      </c>
      <c r="E10" s="134"/>
      <c r="F10" s="134"/>
      <c r="G10" s="135"/>
      <c r="H10" s="133" t="s">
        <v>7</v>
      </c>
      <c r="I10" s="134"/>
      <c r="J10" s="134"/>
      <c r="K10" s="135"/>
      <c r="L10" s="133" t="s">
        <v>7</v>
      </c>
      <c r="M10" s="134"/>
      <c r="N10" s="134"/>
      <c r="O10" s="135"/>
      <c r="P10" s="133" t="s">
        <v>7</v>
      </c>
      <c r="Q10" s="134"/>
      <c r="R10" s="134"/>
      <c r="S10" s="135"/>
      <c r="T10" s="133" t="s">
        <v>12</v>
      </c>
      <c r="U10" s="134"/>
      <c r="V10" s="134"/>
      <c r="W10" s="134"/>
      <c r="X10" s="134"/>
      <c r="Y10" s="134"/>
      <c r="Z10" s="134"/>
      <c r="AA10" s="135"/>
    </row>
    <row r="11" spans="1:27" ht="23.25" thickBot="1">
      <c r="A11" s="116" t="s">
        <v>3</v>
      </c>
      <c r="B11" s="117"/>
      <c r="C11" s="117"/>
      <c r="D11" s="139"/>
      <c r="E11" s="150"/>
      <c r="F11" s="150"/>
      <c r="G11" s="141"/>
      <c r="H11" s="139" t="s">
        <v>8</v>
      </c>
      <c r="I11" s="140"/>
      <c r="J11" s="140"/>
      <c r="K11" s="141"/>
      <c r="L11" s="139" t="s">
        <v>9</v>
      </c>
      <c r="M11" s="140"/>
      <c r="N11" s="140"/>
      <c r="O11" s="141"/>
      <c r="P11" s="139" t="s">
        <v>10</v>
      </c>
      <c r="Q11" s="140"/>
      <c r="R11" s="140"/>
      <c r="S11" s="141"/>
      <c r="T11" s="136"/>
      <c r="U11" s="137"/>
      <c r="V11" s="137"/>
      <c r="W11" s="137"/>
      <c r="X11" s="137"/>
      <c r="Y11" s="137"/>
      <c r="Z11" s="137"/>
      <c r="AA11" s="138"/>
    </row>
    <row r="12" spans="1:27" ht="27.75" customHeight="1">
      <c r="A12" s="118"/>
      <c r="B12" s="117"/>
      <c r="C12" s="117"/>
      <c r="D12" s="139"/>
      <c r="E12" s="150"/>
      <c r="F12" s="150"/>
      <c r="G12" s="141"/>
      <c r="H12" s="142"/>
      <c r="I12" s="143"/>
      <c r="J12" s="143"/>
      <c r="K12" s="144"/>
      <c r="L12" s="142"/>
      <c r="M12" s="143"/>
      <c r="N12" s="143"/>
      <c r="O12" s="144"/>
      <c r="P12" s="139" t="s">
        <v>11</v>
      </c>
      <c r="Q12" s="140"/>
      <c r="R12" s="140"/>
      <c r="S12" s="141"/>
      <c r="T12" s="133" t="s">
        <v>13</v>
      </c>
      <c r="U12" s="134"/>
      <c r="V12" s="134"/>
      <c r="W12" s="135"/>
      <c r="X12" s="133" t="s">
        <v>13</v>
      </c>
      <c r="Y12" s="134"/>
      <c r="Z12" s="134"/>
      <c r="AA12" s="135"/>
    </row>
    <row r="13" spans="1:27" ht="22.5">
      <c r="A13" s="118"/>
      <c r="B13" s="117"/>
      <c r="C13" s="117"/>
      <c r="D13" s="139"/>
      <c r="E13" s="150"/>
      <c r="F13" s="150"/>
      <c r="G13" s="141"/>
      <c r="H13" s="142"/>
      <c r="I13" s="143"/>
      <c r="J13" s="143"/>
      <c r="K13" s="144"/>
      <c r="L13" s="142"/>
      <c r="M13" s="143"/>
      <c r="N13" s="143"/>
      <c r="O13" s="144"/>
      <c r="P13" s="142"/>
      <c r="Q13" s="143"/>
      <c r="R13" s="143"/>
      <c r="S13" s="144"/>
      <c r="T13" s="139" t="s">
        <v>10</v>
      </c>
      <c r="U13" s="140"/>
      <c r="V13" s="140"/>
      <c r="W13" s="141"/>
      <c r="X13" s="139" t="s">
        <v>14</v>
      </c>
      <c r="Y13" s="140"/>
      <c r="Z13" s="140"/>
      <c r="AA13" s="141"/>
    </row>
    <row r="14" spans="1:27" ht="21.75" customHeight="1" thickBot="1">
      <c r="A14" s="118"/>
      <c r="B14" s="117"/>
      <c r="C14" s="117"/>
      <c r="D14" s="136"/>
      <c r="E14" s="137"/>
      <c r="F14" s="137"/>
      <c r="G14" s="138"/>
      <c r="H14" s="145"/>
      <c r="I14" s="146"/>
      <c r="J14" s="146"/>
      <c r="K14" s="147"/>
      <c r="L14" s="145"/>
      <c r="M14" s="146"/>
      <c r="N14" s="146"/>
      <c r="O14" s="147"/>
      <c r="P14" s="145"/>
      <c r="Q14" s="146"/>
      <c r="R14" s="146"/>
      <c r="S14" s="147"/>
      <c r="T14" s="145"/>
      <c r="U14" s="146"/>
      <c r="V14" s="146"/>
      <c r="W14" s="147"/>
      <c r="X14" s="136" t="s">
        <v>15</v>
      </c>
      <c r="Y14" s="137"/>
      <c r="Z14" s="137"/>
      <c r="AA14" s="138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1766.1999999999998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1469.88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296.32000000000005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296.32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1323.9199999999998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1101.77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222.15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222.15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1247.5999999999999</v>
      </c>
      <c r="H19" s="53">
        <v>0</v>
      </c>
      <c r="I19" s="53">
        <v>0</v>
      </c>
      <c r="J19" s="53">
        <v>0</v>
      </c>
      <c r="K19" s="72">
        <f>ROUND('[1]Витрати 20 -21'!$DB$8/1000,2)</f>
        <v>1038.3599999999999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209.24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20 -21'!$DC$8/1000,2)</f>
        <v>209.24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69.849999999999994</v>
      </c>
      <c r="H20" s="53">
        <v>0</v>
      </c>
      <c r="I20" s="53">
        <v>0</v>
      </c>
      <c r="J20" s="53">
        <v>0</v>
      </c>
      <c r="K20" s="72">
        <f>ROUND('[1]Витрати 20 -21'!$DK$8/1000,2)</f>
        <v>57.8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12.05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20 -21'!$DL$8/1000,2)</f>
        <v>12.05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2.9000000000000004</v>
      </c>
      <c r="H22" s="53">
        <v>0</v>
      </c>
      <c r="I22" s="53">
        <v>0</v>
      </c>
      <c r="J22" s="53">
        <v>0</v>
      </c>
      <c r="K22" s="72">
        <f>ROUND('[1]Витрати 20 -21'!$DR$8/1000,2)</f>
        <v>2.64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0.26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20 -21'!$DS$8/1000,2)</f>
        <v>0.26</v>
      </c>
    </row>
    <row r="23" spans="1:28" ht="24.75" customHeight="1" thickBot="1">
      <c r="A23" s="157" t="s">
        <v>119</v>
      </c>
      <c r="B23" s="48" t="s">
        <v>126</v>
      </c>
      <c r="C23" s="159" t="s">
        <v>21</v>
      </c>
      <c r="D23" s="129">
        <f t="shared" si="12"/>
        <v>0</v>
      </c>
      <c r="E23" s="129">
        <f t="shared" si="13"/>
        <v>0</v>
      </c>
      <c r="F23" s="129">
        <f t="shared" si="14"/>
        <v>0</v>
      </c>
      <c r="G23" s="129">
        <f t="shared" si="15"/>
        <v>3.5700000000000003</v>
      </c>
      <c r="H23" s="53"/>
      <c r="I23" s="53"/>
      <c r="J23" s="53"/>
      <c r="K23" s="148">
        <f>ROUND('[1]Витрати 20 -21'!$S$8,2)</f>
        <v>2.97</v>
      </c>
      <c r="L23" s="129">
        <v>0</v>
      </c>
      <c r="M23" s="129">
        <v>0</v>
      </c>
      <c r="N23" s="129">
        <v>0</v>
      </c>
      <c r="O23" s="129">
        <v>0</v>
      </c>
      <c r="P23" s="129">
        <f t="shared" si="7"/>
        <v>0</v>
      </c>
      <c r="Q23" s="129">
        <f t="shared" si="8"/>
        <v>0</v>
      </c>
      <c r="R23" s="129">
        <f t="shared" si="9"/>
        <v>0</v>
      </c>
      <c r="S23" s="129">
        <f t="shared" si="10"/>
        <v>0.6</v>
      </c>
      <c r="T23" s="129">
        <v>0</v>
      </c>
      <c r="U23" s="129">
        <v>0</v>
      </c>
      <c r="V23" s="129">
        <f t="shared" ref="V23:W23" si="19">V24+V31+V32+V33+V38</f>
        <v>0</v>
      </c>
      <c r="W23" s="129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20 -21'!$T$8,2)</f>
        <v>0.6</v>
      </c>
    </row>
    <row r="24" spans="1:28" ht="30.75" customHeight="1" thickBot="1">
      <c r="A24" s="158"/>
      <c r="B24" s="48" t="s">
        <v>127</v>
      </c>
      <c r="C24" s="160"/>
      <c r="D24" s="130"/>
      <c r="E24" s="130"/>
      <c r="F24" s="130"/>
      <c r="G24" s="130"/>
      <c r="H24" s="53">
        <v>0</v>
      </c>
      <c r="I24" s="53">
        <v>0</v>
      </c>
      <c r="J24" s="53">
        <v>0</v>
      </c>
      <c r="K24" s="149"/>
      <c r="L24" s="130"/>
      <c r="M24" s="161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2"/>
      <c r="Y24" s="132"/>
      <c r="Z24" s="132"/>
      <c r="AA24" s="149"/>
    </row>
    <row r="25" spans="1:28" ht="21.75" customHeight="1" thickBot="1">
      <c r="A25" s="153">
        <v>1.2</v>
      </c>
      <c r="B25" s="49" t="s">
        <v>27</v>
      </c>
      <c r="C25" s="155" t="s">
        <v>21</v>
      </c>
      <c r="D25" s="129">
        <f>H25+P25</f>
        <v>0</v>
      </c>
      <c r="E25" s="129">
        <f>I25+Q25</f>
        <v>0</v>
      </c>
      <c r="F25" s="129">
        <f>J25+R25</f>
        <v>0</v>
      </c>
      <c r="G25" s="129">
        <f>K25+S25</f>
        <v>211.88</v>
      </c>
      <c r="H25" s="53"/>
      <c r="I25" s="53"/>
      <c r="J25" s="53"/>
      <c r="K25" s="148">
        <f>ROUND('[1]Витрати 20 -21'!$V$8,2)</f>
        <v>176.35</v>
      </c>
      <c r="L25" s="162">
        <v>0</v>
      </c>
      <c r="M25" s="164">
        <v>0</v>
      </c>
      <c r="N25" s="166">
        <v>0</v>
      </c>
      <c r="O25" s="129">
        <v>0</v>
      </c>
      <c r="P25" s="129">
        <f t="shared" si="7"/>
        <v>0</v>
      </c>
      <c r="Q25" s="129">
        <f t="shared" si="8"/>
        <v>0</v>
      </c>
      <c r="R25" s="129">
        <f t="shared" si="9"/>
        <v>0</v>
      </c>
      <c r="S25" s="129">
        <f t="shared" si="10"/>
        <v>35.53</v>
      </c>
      <c r="T25" s="129">
        <v>0</v>
      </c>
      <c r="U25" s="129">
        <v>0</v>
      </c>
      <c r="V25" s="129">
        <f t="shared" ref="V25:W25" si="20">V26+V33+V34+V35+V40</f>
        <v>0</v>
      </c>
      <c r="W25" s="129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20 -21'!$W$8,2)</f>
        <v>35.53</v>
      </c>
    </row>
    <row r="26" spans="1:28" ht="32.25" customHeight="1" thickBot="1">
      <c r="A26" s="154"/>
      <c r="B26" s="50" t="s">
        <v>28</v>
      </c>
      <c r="C26" s="156"/>
      <c r="D26" s="130"/>
      <c r="E26" s="130"/>
      <c r="F26" s="130"/>
      <c r="G26" s="130"/>
      <c r="H26" s="53">
        <v>0</v>
      </c>
      <c r="I26" s="53">
        <v>0</v>
      </c>
      <c r="J26" s="53">
        <v>0</v>
      </c>
      <c r="K26" s="149"/>
      <c r="L26" s="163"/>
      <c r="M26" s="165"/>
      <c r="N26" s="167"/>
      <c r="O26" s="130"/>
      <c r="P26" s="130"/>
      <c r="Q26" s="130"/>
      <c r="R26" s="130"/>
      <c r="S26" s="130"/>
      <c r="T26" s="130"/>
      <c r="U26" s="130"/>
      <c r="V26" s="130"/>
      <c r="W26" s="130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95.27000000000001</v>
      </c>
      <c r="H27" s="53">
        <v>0</v>
      </c>
      <c r="I27" s="53">
        <v>0</v>
      </c>
      <c r="J27" s="53">
        <v>0</v>
      </c>
      <c r="K27" s="53">
        <f>ROUND(K28+K29+K30+K31,2)</f>
        <v>79.290000000000006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15.98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15.98</v>
      </c>
    </row>
    <row r="28" spans="1:28" ht="20.25" customHeight="1" thickBot="1">
      <c r="A28" s="170" t="s">
        <v>120</v>
      </c>
      <c r="B28" s="49" t="s">
        <v>30</v>
      </c>
      <c r="C28" s="155" t="s">
        <v>21</v>
      </c>
      <c r="D28" s="129">
        <f t="shared" ref="D28:D31" si="23">H28+P28</f>
        <v>0</v>
      </c>
      <c r="E28" s="129">
        <f t="shared" ref="E28:E31" si="24">I28+Q28</f>
        <v>0</v>
      </c>
      <c r="F28" s="129">
        <v>0</v>
      </c>
      <c r="G28" s="129">
        <f>K28+O28+S28</f>
        <v>46.62</v>
      </c>
      <c r="H28" s="53"/>
      <c r="I28" s="53"/>
      <c r="J28" s="53"/>
      <c r="K28" s="131">
        <f>ROUND(K25*22%,2)</f>
        <v>38.799999999999997</v>
      </c>
      <c r="L28" s="129">
        <v>0</v>
      </c>
      <c r="M28" s="129">
        <v>0</v>
      </c>
      <c r="N28" s="129">
        <v>0</v>
      </c>
      <c r="O28" s="129">
        <v>0</v>
      </c>
      <c r="P28" s="129">
        <f t="shared" si="7"/>
        <v>0</v>
      </c>
      <c r="Q28" s="129">
        <f t="shared" si="8"/>
        <v>0</v>
      </c>
      <c r="R28" s="129">
        <f t="shared" si="9"/>
        <v>0</v>
      </c>
      <c r="S28" s="129">
        <f t="shared" si="10"/>
        <v>7.82</v>
      </c>
      <c r="T28" s="129">
        <v>0</v>
      </c>
      <c r="U28" s="129">
        <v>0</v>
      </c>
      <c r="V28" s="129">
        <f t="shared" ref="V28:W28" si="25">V29+V36+V37+V38+V43</f>
        <v>0</v>
      </c>
      <c r="W28" s="129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7.82</v>
      </c>
    </row>
    <row r="29" spans="1:28" ht="30" customHeight="1" thickBot="1">
      <c r="A29" s="171"/>
      <c r="B29" s="50" t="s">
        <v>31</v>
      </c>
      <c r="C29" s="156"/>
      <c r="D29" s="130"/>
      <c r="E29" s="130"/>
      <c r="F29" s="130"/>
      <c r="G29" s="130"/>
      <c r="H29" s="53">
        <v>0</v>
      </c>
      <c r="I29" s="53">
        <v>0</v>
      </c>
      <c r="J29" s="53">
        <v>0</v>
      </c>
      <c r="K29" s="132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7.27</v>
      </c>
      <c r="H30" s="53">
        <v>0</v>
      </c>
      <c r="I30" s="53">
        <v>0</v>
      </c>
      <c r="J30" s="53">
        <v>0</v>
      </c>
      <c r="K30" s="72">
        <f>ROUND('[1]Витрати 20 -21'!$AE$8,2)</f>
        <v>6.05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1.22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20 -21'!$AF$8,2)</f>
        <v>1.22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41.379999999999995</v>
      </c>
      <c r="H31" s="53">
        <v>0</v>
      </c>
      <c r="I31" s="53">
        <v>0</v>
      </c>
      <c r="J31" s="53">
        <v>0</v>
      </c>
      <c r="K31" s="72">
        <f>ROUND('[1]Витрати 20 -21'!$AH$8,2)</f>
        <v>34.44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6.94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20 -21'!$AI$8,2)</f>
        <v>6.94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135.13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112.47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22.66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22.66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27.81</v>
      </c>
      <c r="H33" s="53">
        <v>0</v>
      </c>
      <c r="I33" s="53">
        <v>0</v>
      </c>
      <c r="J33" s="53">
        <v>0</v>
      </c>
      <c r="K33" s="72">
        <f>ROUND('[1]Витрати 20 -21'!$AN$8,2)</f>
        <v>23.15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4.66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20 -21'!$AO$8,2)</f>
        <v>4.66</v>
      </c>
    </row>
    <row r="34" spans="1:27" ht="20.25">
      <c r="A34" s="168" t="s">
        <v>124</v>
      </c>
      <c r="B34" s="48" t="s">
        <v>30</v>
      </c>
      <c r="C34" s="159" t="s">
        <v>21</v>
      </c>
      <c r="D34" s="129">
        <f t="shared" si="31"/>
        <v>0</v>
      </c>
      <c r="E34" s="129">
        <f t="shared" si="32"/>
        <v>0</v>
      </c>
      <c r="F34" s="129">
        <f t="shared" si="26"/>
        <v>0</v>
      </c>
      <c r="G34" s="129">
        <f>K34+O34+S34</f>
        <v>6.12</v>
      </c>
      <c r="H34" s="131">
        <v>0</v>
      </c>
      <c r="I34" s="131">
        <v>0</v>
      </c>
      <c r="J34" s="131">
        <v>0</v>
      </c>
      <c r="K34" s="174">
        <f>ROUND(K33*22%,2)</f>
        <v>5.09</v>
      </c>
      <c r="L34" s="129">
        <v>0</v>
      </c>
      <c r="M34" s="129">
        <v>0</v>
      </c>
      <c r="N34" s="129">
        <v>0</v>
      </c>
      <c r="O34" s="129">
        <v>0</v>
      </c>
      <c r="P34" s="129">
        <f t="shared" si="7"/>
        <v>0</v>
      </c>
      <c r="Q34" s="129">
        <f t="shared" si="8"/>
        <v>0</v>
      </c>
      <c r="R34" s="129">
        <f t="shared" si="9"/>
        <v>0</v>
      </c>
      <c r="S34" s="129">
        <f t="shared" si="10"/>
        <v>1.03</v>
      </c>
      <c r="T34" s="129">
        <v>0</v>
      </c>
      <c r="U34" s="129">
        <v>0</v>
      </c>
      <c r="V34" s="129">
        <f t="shared" ref="V34:W34" si="34">V35+V42+V43+V44+V49</f>
        <v>0</v>
      </c>
      <c r="W34" s="129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1.03</v>
      </c>
    </row>
    <row r="35" spans="1:27" ht="21" thickBot="1">
      <c r="A35" s="169"/>
      <c r="B35" s="41" t="s">
        <v>31</v>
      </c>
      <c r="C35" s="160"/>
      <c r="D35" s="130"/>
      <c r="E35" s="130"/>
      <c r="F35" s="130"/>
      <c r="G35" s="130"/>
      <c r="H35" s="132"/>
      <c r="I35" s="132"/>
      <c r="J35" s="132"/>
      <c r="K35" s="175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101.2</v>
      </c>
      <c r="H36" s="53">
        <v>0</v>
      </c>
      <c r="I36" s="53">
        <v>0</v>
      </c>
      <c r="J36" s="53">
        <v>0</v>
      </c>
      <c r="K36" s="72">
        <f>ROUND('[1]Витрати 20 -21'!$AT$8,2)</f>
        <v>84.23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16.97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20 -21'!$AU$8,2)</f>
        <v>16.97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121.23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101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20.23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20.23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82.53</v>
      </c>
      <c r="H38" s="53">
        <v>0</v>
      </c>
      <c r="I38" s="53">
        <v>0</v>
      </c>
      <c r="J38" s="53">
        <v>0</v>
      </c>
      <c r="K38" s="72">
        <f>ROUND('[1]Витрати 20 -21'!$BC$8-'Додаток 3'!H25,2)</f>
        <v>68.760000000000005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13.77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20 -21'!$BD$8-'Додаток 3'!I25,2)</f>
        <v>13.77</v>
      </c>
    </row>
    <row r="39" spans="1:27" ht="18.75" customHeight="1">
      <c r="A39" s="172">
        <v>2.2000000000000002</v>
      </c>
      <c r="B39" s="48" t="s">
        <v>30</v>
      </c>
      <c r="C39" s="159" t="s">
        <v>21</v>
      </c>
      <c r="D39" s="129">
        <v>0</v>
      </c>
      <c r="E39" s="129">
        <v>0</v>
      </c>
      <c r="F39" s="129">
        <v>0</v>
      </c>
      <c r="G39" s="129">
        <f>K39+O39+S39</f>
        <v>18.16</v>
      </c>
      <c r="H39" s="131">
        <v>0</v>
      </c>
      <c r="I39" s="131">
        <v>0</v>
      </c>
      <c r="J39" s="131">
        <v>0</v>
      </c>
      <c r="K39" s="174">
        <f>ROUND(K38*22%,2)</f>
        <v>15.13</v>
      </c>
      <c r="L39" s="129">
        <v>0</v>
      </c>
      <c r="M39" s="129">
        <v>0</v>
      </c>
      <c r="N39" s="129">
        <v>0</v>
      </c>
      <c r="O39" s="129">
        <v>0</v>
      </c>
      <c r="P39" s="129">
        <f t="shared" si="7"/>
        <v>0</v>
      </c>
      <c r="Q39" s="129">
        <f t="shared" si="8"/>
        <v>0</v>
      </c>
      <c r="R39" s="129">
        <f t="shared" si="9"/>
        <v>0</v>
      </c>
      <c r="S39" s="129">
        <f t="shared" si="10"/>
        <v>3.03</v>
      </c>
      <c r="T39" s="129">
        <v>0</v>
      </c>
      <c r="U39" s="129">
        <v>0</v>
      </c>
      <c r="V39" s="129">
        <f t="shared" ref="V39:W39" si="39">V40+V47+V48+V49+V54</f>
        <v>0</v>
      </c>
      <c r="W39" s="129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3.03</v>
      </c>
    </row>
    <row r="40" spans="1:27" ht="19.5" customHeight="1" thickBot="1">
      <c r="A40" s="173"/>
      <c r="B40" s="41" t="s">
        <v>31</v>
      </c>
      <c r="C40" s="160"/>
      <c r="D40" s="130"/>
      <c r="E40" s="130"/>
      <c r="F40" s="130"/>
      <c r="G40" s="130"/>
      <c r="H40" s="132"/>
      <c r="I40" s="132"/>
      <c r="J40" s="132"/>
      <c r="K40" s="175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20.54</v>
      </c>
      <c r="H41" s="53">
        <v>0</v>
      </c>
      <c r="I41" s="53">
        <v>0</v>
      </c>
      <c r="J41" s="53">
        <v>0</v>
      </c>
      <c r="K41" s="72">
        <f>ROUND('[1]Витрати 20 -21'!$BI$8-'Додаток 3'!H27,2)</f>
        <v>17.11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3.43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20 -21'!$BJ$8-'Додаток 3'!I27,2)</f>
        <v>3.43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72">
        <v>3.2</v>
      </c>
      <c r="B44" s="48" t="s">
        <v>30</v>
      </c>
      <c r="C44" s="159" t="s">
        <v>21</v>
      </c>
      <c r="D44" s="129">
        <f t="shared" si="31"/>
        <v>0</v>
      </c>
      <c r="E44" s="129">
        <v>0</v>
      </c>
      <c r="F44" s="129">
        <v>0</v>
      </c>
      <c r="G44" s="129">
        <f>K44+O44+S44</f>
        <v>0</v>
      </c>
      <c r="H44" s="131">
        <v>0</v>
      </c>
      <c r="I44" s="131">
        <v>0</v>
      </c>
      <c r="J44" s="131">
        <v>0</v>
      </c>
      <c r="K44" s="148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f t="shared" si="7"/>
        <v>0</v>
      </c>
      <c r="Q44" s="129">
        <f t="shared" si="8"/>
        <v>0</v>
      </c>
      <c r="R44" s="129">
        <f t="shared" si="9"/>
        <v>0</v>
      </c>
      <c r="S44" s="129">
        <f t="shared" si="10"/>
        <v>0</v>
      </c>
      <c r="T44" s="129">
        <v>0</v>
      </c>
      <c r="U44" s="129">
        <v>0</v>
      </c>
      <c r="V44" s="129">
        <f t="shared" ref="V44:W44" si="44">V45+V52+V53+V54+V59</f>
        <v>0</v>
      </c>
      <c r="W44" s="129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73"/>
      <c r="B45" s="41" t="s">
        <v>31</v>
      </c>
      <c r="C45" s="160"/>
      <c r="D45" s="130"/>
      <c r="E45" s="130"/>
      <c r="F45" s="130"/>
      <c r="G45" s="130"/>
      <c r="H45" s="132"/>
      <c r="I45" s="132"/>
      <c r="J45" s="132"/>
      <c r="K45" s="149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1887.4300000000003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1570.88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316.55000000000007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316.55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104.62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87.07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17.55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17.55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18.829999999999998</v>
      </c>
      <c r="H52" s="79" t="s">
        <v>46</v>
      </c>
      <c r="I52" s="79" t="s">
        <v>46</v>
      </c>
      <c r="J52" s="53">
        <v>0</v>
      </c>
      <c r="K52" s="39">
        <f>ROUND(18%*(K53+K54+K55+K57)/82%,2)</f>
        <v>15.67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3.16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3.16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48.04</v>
      </c>
      <c r="H54" s="79" t="s">
        <v>46</v>
      </c>
      <c r="I54" s="79" t="s">
        <v>46</v>
      </c>
      <c r="J54" s="53">
        <v>0</v>
      </c>
      <c r="K54" s="72">
        <f>ROUND('[1]Витрати 20 -21'!$CJ$8-'Додаток 3'!H39,2)</f>
        <v>39.979999999999997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8.06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20 -21'!$CK$8-'Додаток 3'!I39,2)</f>
        <v>8.06</v>
      </c>
    </row>
    <row r="55" spans="1:28" ht="19.5" customHeight="1">
      <c r="A55" s="172">
        <v>8.4</v>
      </c>
      <c r="B55" s="48" t="s">
        <v>49</v>
      </c>
      <c r="C55" s="159" t="s">
        <v>21</v>
      </c>
      <c r="D55" s="151" t="s">
        <v>46</v>
      </c>
      <c r="E55" s="151" t="s">
        <v>46</v>
      </c>
      <c r="F55" s="131">
        <v>0</v>
      </c>
      <c r="G55" s="129">
        <f t="shared" si="46"/>
        <v>0</v>
      </c>
      <c r="H55" s="151" t="s">
        <v>46</v>
      </c>
      <c r="I55" s="151" t="s">
        <v>46</v>
      </c>
      <c r="J55" s="131">
        <v>0</v>
      </c>
      <c r="K55" s="148">
        <f>ROUND('[1]Витрати 20 -21'!$CG$8-'Додаток 3'!H40,2)</f>
        <v>0</v>
      </c>
      <c r="L55" s="176" t="s">
        <v>46</v>
      </c>
      <c r="M55" s="176" t="s">
        <v>46</v>
      </c>
      <c r="N55" s="129">
        <v>0</v>
      </c>
      <c r="O55" s="129">
        <v>0</v>
      </c>
      <c r="P55" s="178" t="s">
        <v>129</v>
      </c>
      <c r="Q55" s="151" t="s">
        <v>46</v>
      </c>
      <c r="R55" s="129">
        <f t="shared" si="9"/>
        <v>0</v>
      </c>
      <c r="S55" s="129">
        <f t="shared" si="10"/>
        <v>0</v>
      </c>
      <c r="T55" s="151" t="s">
        <v>46</v>
      </c>
      <c r="U55" s="151" t="s">
        <v>46</v>
      </c>
      <c r="V55" s="129">
        <v>0</v>
      </c>
      <c r="W55" s="129">
        <v>0</v>
      </c>
      <c r="X55" s="151" t="s">
        <v>46</v>
      </c>
      <c r="Y55" s="151" t="s">
        <v>46</v>
      </c>
      <c r="Z55" s="131">
        <v>0</v>
      </c>
      <c r="AA55" s="148">
        <f>ROUND('[1]Витрати 20 -21'!$CH$8-'Додаток 3'!I40,2)</f>
        <v>0</v>
      </c>
    </row>
    <row r="56" spans="1:28" ht="24" customHeight="1" thickBot="1">
      <c r="A56" s="173"/>
      <c r="B56" s="41" t="s">
        <v>50</v>
      </c>
      <c r="C56" s="160"/>
      <c r="D56" s="152"/>
      <c r="E56" s="152"/>
      <c r="F56" s="132"/>
      <c r="G56" s="130"/>
      <c r="H56" s="152"/>
      <c r="I56" s="152"/>
      <c r="J56" s="132"/>
      <c r="K56" s="149"/>
      <c r="L56" s="177"/>
      <c r="M56" s="177"/>
      <c r="N56" s="130"/>
      <c r="O56" s="130"/>
      <c r="P56" s="179"/>
      <c r="Q56" s="152"/>
      <c r="R56" s="130"/>
      <c r="S56" s="130"/>
      <c r="T56" s="152"/>
      <c r="U56" s="152"/>
      <c r="V56" s="130"/>
      <c r="W56" s="130"/>
      <c r="X56" s="152"/>
      <c r="Y56" s="152"/>
      <c r="Z56" s="132"/>
      <c r="AA56" s="149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37.75</v>
      </c>
      <c r="H57" s="79" t="s">
        <v>46</v>
      </c>
      <c r="I57" s="79" t="s">
        <v>46</v>
      </c>
      <c r="J57" s="53">
        <v>0</v>
      </c>
      <c r="K57" s="39">
        <f>ROUND(K49*2%,2)</f>
        <v>31.42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6.33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6.33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1992.0500000000002</v>
      </c>
      <c r="H58" s="53">
        <v>0</v>
      </c>
      <c r="I58" s="53">
        <v>0</v>
      </c>
      <c r="J58" s="53">
        <v>0</v>
      </c>
      <c r="K58" s="53">
        <f>ROUND(K49+K51,2)</f>
        <v>1657.95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334.1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334.1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1769.5691491535244</v>
      </c>
      <c r="H59" s="53">
        <v>0</v>
      </c>
      <c r="I59" s="53">
        <v>0</v>
      </c>
      <c r="J59" s="53">
        <v>0</v>
      </c>
      <c r="K59" s="53">
        <f>ROUND(K58/K62*1000,2)</f>
        <v>1769.5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1769.91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1769.91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1108.2625789934673</v>
      </c>
      <c r="H60" s="53">
        <v>0</v>
      </c>
      <c r="I60" s="53">
        <v>0</v>
      </c>
      <c r="J60" s="53">
        <v>0</v>
      </c>
      <c r="K60" s="53">
        <f>ROUND(K19/K62*1000,2)</f>
        <v>1108.22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1108.46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1108.46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661.30657016005716</v>
      </c>
      <c r="H61" s="53">
        <v>0</v>
      </c>
      <c r="I61" s="53">
        <v>0</v>
      </c>
      <c r="J61" s="53">
        <v>0</v>
      </c>
      <c r="K61" s="53">
        <f>ROUND(K59-K60,2)</f>
        <v>661.28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661.45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661.45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1125.7259999999999</v>
      </c>
      <c r="H62" s="53">
        <v>0</v>
      </c>
      <c r="I62" s="53">
        <v>0</v>
      </c>
      <c r="J62" s="53">
        <v>0</v>
      </c>
      <c r="K62" s="87">
        <f>ROUND('[1]Витрати 20 -21'!$C$8,3)</f>
        <v>936.95899999999995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188.767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20 -21'!$D$8,3)</f>
        <v>188.767</v>
      </c>
    </row>
    <row r="63" spans="1:28" ht="20.25">
      <c r="A63" s="172">
        <v>12</v>
      </c>
      <c r="B63" s="48" t="s">
        <v>58</v>
      </c>
      <c r="C63" s="15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f>T63+X63</f>
        <v>0</v>
      </c>
      <c r="Q63" s="129">
        <f>U63+Y63</f>
        <v>0</v>
      </c>
      <c r="R63" s="129">
        <f t="shared" si="9"/>
        <v>0</v>
      </c>
      <c r="S63" s="129">
        <f t="shared" si="10"/>
        <v>0</v>
      </c>
      <c r="T63" s="129">
        <v>0</v>
      </c>
      <c r="U63" s="129">
        <v>0</v>
      </c>
      <c r="V63" s="129">
        <v>0</v>
      </c>
      <c r="W63" s="129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73"/>
      <c r="B64" s="41" t="s">
        <v>59</v>
      </c>
      <c r="C64" s="160"/>
      <c r="D64" s="132"/>
      <c r="E64" s="132"/>
      <c r="F64" s="132"/>
      <c r="G64" s="132"/>
      <c r="H64" s="132"/>
      <c r="I64" s="132"/>
      <c r="J64" s="132"/>
      <c r="K64" s="132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2"/>
      <c r="Y64" s="132"/>
      <c r="Z64" s="132"/>
      <c r="AA64" s="132"/>
    </row>
    <row r="65" spans="1:28" ht="24.75" customHeight="1">
      <c r="A65" s="172">
        <v>13</v>
      </c>
      <c r="B65" s="48" t="s">
        <v>60</v>
      </c>
      <c r="C65" s="15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29">
        <v>0</v>
      </c>
      <c r="M65" s="129">
        <v>0</v>
      </c>
      <c r="N65" s="129">
        <v>0</v>
      </c>
      <c r="O65" s="129">
        <v>0</v>
      </c>
      <c r="P65" s="129">
        <f>T65+X65</f>
        <v>0</v>
      </c>
      <c r="Q65" s="129">
        <f t="shared" ref="Q65" si="56">U65+Y65</f>
        <v>0</v>
      </c>
      <c r="R65" s="129">
        <f t="shared" ref="R65" si="57">V65+Z65</f>
        <v>0</v>
      </c>
      <c r="S65" s="129">
        <v>0</v>
      </c>
      <c r="T65" s="129">
        <v>0</v>
      </c>
      <c r="U65" s="129">
        <v>0</v>
      </c>
      <c r="V65" s="129">
        <v>0</v>
      </c>
      <c r="W65" s="129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73"/>
      <c r="B66" s="41" t="s">
        <v>59</v>
      </c>
      <c r="C66" s="160"/>
      <c r="D66" s="132"/>
      <c r="E66" s="132"/>
      <c r="F66" s="132"/>
      <c r="G66" s="132"/>
      <c r="H66" s="132"/>
      <c r="I66" s="132"/>
      <c r="J66" s="132"/>
      <c r="K66" s="132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1125.7259999999999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936.95899999999995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188.767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188.767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1676.633568026323</v>
      </c>
      <c r="H68" s="53">
        <v>0</v>
      </c>
      <c r="I68" s="53">
        <v>0</v>
      </c>
      <c r="J68" s="53">
        <v>0</v>
      </c>
      <c r="K68" s="53">
        <f>ROUND(K49/K67*1000,2)</f>
        <v>1676.57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1676.94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1676.94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2" t="s">
        <v>140</v>
      </c>
      <c r="C74" s="182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81"/>
      <c r="W74" s="181"/>
      <c r="X74" s="181"/>
      <c r="Y74" s="181"/>
      <c r="Z74" s="181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80" t="s">
        <v>64</v>
      </c>
      <c r="B76" s="180"/>
      <c r="C76" s="180"/>
      <c r="D76" s="19"/>
      <c r="E76" s="19"/>
      <c r="F76" s="19"/>
      <c r="G76" s="19"/>
      <c r="H76" s="19"/>
      <c r="I76" s="180" t="s">
        <v>65</v>
      </c>
      <c r="J76" s="180"/>
      <c r="K76" s="180"/>
      <c r="L76" s="180"/>
      <c r="M76" s="180"/>
      <c r="N76" s="19"/>
      <c r="O76" s="19"/>
      <c r="P76" s="19"/>
      <c r="Q76" s="19"/>
      <c r="R76" s="19"/>
      <c r="S76" s="19"/>
      <c r="T76" s="19"/>
      <c r="U76" s="19"/>
      <c r="V76" s="180" t="s">
        <v>66</v>
      </c>
      <c r="W76" s="180"/>
      <c r="X76" s="180"/>
      <c r="Y76" s="180"/>
      <c r="Z76" s="180"/>
      <c r="AA76" s="19"/>
      <c r="AB76" s="19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3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87" t="s">
        <v>147</v>
      </c>
      <c r="B3" s="187"/>
      <c r="C3" s="187"/>
      <c r="D3" s="187"/>
      <c r="E3" s="187"/>
      <c r="F3" s="187"/>
      <c r="G3" s="187"/>
    </row>
    <row r="4" spans="1:9" ht="21" customHeight="1">
      <c r="A4" s="187" t="s">
        <v>148</v>
      </c>
      <c r="B4" s="187"/>
      <c r="C4" s="187"/>
      <c r="D4" s="187"/>
      <c r="E4" s="187"/>
      <c r="F4" s="187"/>
      <c r="G4" s="187"/>
    </row>
    <row r="5" spans="1:9" ht="21" customHeight="1">
      <c r="A5" s="187" t="s">
        <v>149</v>
      </c>
      <c r="B5" s="187"/>
      <c r="C5" s="187"/>
      <c r="D5" s="187"/>
      <c r="E5" s="187"/>
      <c r="F5" s="187"/>
      <c r="G5" s="187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88"/>
      <c r="B7" s="188"/>
      <c r="C7" s="188"/>
      <c r="D7" s="188"/>
      <c r="E7" s="188"/>
      <c r="F7" s="188"/>
      <c r="G7" s="188"/>
    </row>
    <row r="8" spans="1:9" ht="18.75" customHeight="1">
      <c r="A8" s="188" t="s">
        <v>152</v>
      </c>
      <c r="B8" s="188"/>
      <c r="C8" s="188"/>
      <c r="D8" s="188"/>
      <c r="E8" s="188"/>
      <c r="F8" s="188"/>
      <c r="G8" s="188"/>
    </row>
    <row r="9" spans="1:9" ht="24" thickBot="1">
      <c r="A9" s="63"/>
      <c r="B9" s="190" t="s">
        <v>157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3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4.08</v>
      </c>
      <c r="H24" s="92">
        <f>ROUND(H25+H26+H27,2)</f>
        <v>3.41</v>
      </c>
      <c r="I24" s="92">
        <f>ROUND(I25+I26+I27,2)</f>
        <v>0.67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2.78</v>
      </c>
      <c r="H25" s="93">
        <f>ROUND('[1]Витрати 20 -21'!$BC$8*'[1]Витрати 20 -21'!$BL$28%,2)</f>
        <v>2.3199999999999998</v>
      </c>
      <c r="I25" s="93">
        <f>ROUND('[1]Витрати 20 -21'!$BD$8*'[1]Витрати 20 -21'!$BM$28%,2)</f>
        <v>0.46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0.61</v>
      </c>
      <c r="H26" s="92">
        <f>ROUND(H25*22%,2)</f>
        <v>0.51</v>
      </c>
      <c r="I26" s="92">
        <f>ROUND(I25*22%,2)</f>
        <v>0.1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0.69</v>
      </c>
      <c r="H27" s="93">
        <f>ROUND('[1]Витрати 20 -21'!$BI$8*'[1]Витрати 20 -21'!$BL$28%,2)</f>
        <v>0.57999999999999996</v>
      </c>
      <c r="I27" s="97">
        <f>ROUND('[1]Витрати 20 -21'!$BJ$8*'[1]Витрати 20 -21'!$BM$28%,2)</f>
        <v>0.11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58.680000000000007</v>
      </c>
      <c r="H28" s="92">
        <f>ROUND(H29+H30+H31,2)</f>
        <v>48.84</v>
      </c>
      <c r="I28" s="92">
        <f>ROUND(I29+I30+I31,2)</f>
        <v>9.84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45.019999999999996</v>
      </c>
      <c r="H29" s="93">
        <f>ROUND('[1]Витрати 20 -21'!$BO$8,2)</f>
        <v>37.47</v>
      </c>
      <c r="I29" s="93">
        <f>ROUND('[1]Витрати 20 -21'!$BP$8,2)</f>
        <v>7.55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9.9</v>
      </c>
      <c r="H30" s="92">
        <f>ROUND(H29*22%,2)</f>
        <v>8.24</v>
      </c>
      <c r="I30" s="92">
        <f>ROUND(I29*22%,2)</f>
        <v>1.66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3.76</v>
      </c>
      <c r="H31" s="93">
        <f>ROUND('[1]Витрати 20 -21'!$BU$8,2)</f>
        <v>3.13</v>
      </c>
      <c r="I31" s="93">
        <f>ROUND('[1]Витрати 20 -21'!$BV$8,2)</f>
        <v>0.63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62.76</v>
      </c>
      <c r="H34" s="92">
        <f>ROUND(H13+H24+H28+H32+H33,2)</f>
        <v>52.25</v>
      </c>
      <c r="I34" s="92">
        <f>ROUND(I13+I24+I28+I32+I33,2)</f>
        <v>10.51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3.52</v>
      </c>
      <c r="H36" s="92">
        <f>ROUND(H37+H38+H39+H40+H41,2)</f>
        <v>2.93</v>
      </c>
      <c r="I36" s="92">
        <f>ROUND(I37+I38+I39+I40+I41,2)</f>
        <v>0.59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0.64</v>
      </c>
      <c r="H37" s="95">
        <f>ROUND(18%*(H38+H39+H40+H41)/82%,2)</f>
        <v>0.53</v>
      </c>
      <c r="I37" s="95">
        <f>ROUND(18%*(I38+I39+I40+I41)/82%,2)</f>
        <v>0.11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1.62</v>
      </c>
      <c r="H39" s="93">
        <f>ROUND('[1]Витрати 20 -21'!$CJ$8*'[1]Витрати 20 -21'!$BL$28%,2)</f>
        <v>1.35</v>
      </c>
      <c r="I39" s="93">
        <f>ROUND('[1]Витрати 20 -21'!$CK$8*'[1]Витрати 20 -21'!$BM$28%,2)</f>
        <v>0.27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20 -21'!$CG$8*'[1]Витрати 20 -21'!$BL$28%,2)</f>
        <v>0</v>
      </c>
      <c r="I40" s="93">
        <f>ROUND('[1]Витрати 20 -21'!$CH$8*'[1]Витрати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1.26</v>
      </c>
      <c r="H41" s="92">
        <f>ROUND(H34*2%,2)</f>
        <v>1.05</v>
      </c>
      <c r="I41" s="92">
        <f>ROUND(I34*2%,2)</f>
        <v>0.21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66.28</v>
      </c>
      <c r="H42" s="92">
        <f>ROUND(H34+H36,2)</f>
        <v>55.18</v>
      </c>
      <c r="I42" s="92">
        <f>ROUND(I34+I36,2)</f>
        <v>11.1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58.87755990356446</v>
      </c>
      <c r="H43" s="92">
        <f>ROUND(H42/H44*1000,2)</f>
        <v>58.89</v>
      </c>
      <c r="I43" s="92">
        <f>ROUND(I42/I44*1000,2)</f>
        <v>58.8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1125.7259999999999</v>
      </c>
      <c r="H44" s="101">
        <f>ROUND('Додаток 1'!K67,3)</f>
        <v>936.95899999999995</v>
      </c>
      <c r="I44" s="101">
        <f>ROUND('Додаток 1'!AA67,3)</f>
        <v>188.767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936.96</v>
      </c>
      <c r="H45" s="92">
        <f>ROUND(H44,2)</f>
        <v>936.96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188.767</v>
      </c>
      <c r="H48" s="92">
        <v>0</v>
      </c>
      <c r="I48" s="100">
        <f>I44</f>
        <v>188.767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80" t="s">
        <v>64</v>
      </c>
      <c r="B53" s="180"/>
      <c r="C53" s="19"/>
      <c r="D53" s="31" t="s">
        <v>65</v>
      </c>
      <c r="E53" s="19"/>
      <c r="F53" s="180" t="s">
        <v>66</v>
      </c>
      <c r="G53" s="180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37" zoomScale="60" workbookViewId="0">
      <selection activeCell="O15" sqref="O15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88" t="s">
        <v>153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7" spans="1:12" ht="25.5" customHeight="1">
      <c r="A7" s="188" t="s">
        <v>154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spans="1:12" ht="24" thickBot="1">
      <c r="A8" s="106"/>
      <c r="B8" s="63"/>
      <c r="C8" s="63"/>
      <c r="D8" s="67" t="s">
        <v>158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239" t="s">
        <v>69</v>
      </c>
      <c r="C9" s="239" t="s">
        <v>89</v>
      </c>
      <c r="D9" s="241" t="s">
        <v>5</v>
      </c>
      <c r="E9" s="242"/>
      <c r="F9" s="239" t="s">
        <v>6</v>
      </c>
      <c r="G9" s="245" t="s">
        <v>90</v>
      </c>
      <c r="H9" s="246"/>
      <c r="I9" s="246"/>
      <c r="J9" s="246"/>
      <c r="K9" s="247"/>
      <c r="L9" s="5"/>
    </row>
    <row r="10" spans="1:12" ht="58.5" customHeight="1" thickBot="1">
      <c r="A10" s="107"/>
      <c r="B10" s="240"/>
      <c r="C10" s="240"/>
      <c r="D10" s="243"/>
      <c r="E10" s="244"/>
      <c r="F10" s="240"/>
      <c r="G10" s="245" t="s">
        <v>82</v>
      </c>
      <c r="H10" s="247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37">
        <v>3</v>
      </c>
      <c r="E11" s="238"/>
      <c r="F11" s="18">
        <v>4</v>
      </c>
      <c r="G11" s="237">
        <v>5</v>
      </c>
      <c r="H11" s="23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31" t="s">
        <v>53</v>
      </c>
      <c r="E12" s="232"/>
      <c r="F12" s="70">
        <f>ROUND('Додаток 1'!G59,2)</f>
        <v>1769.57</v>
      </c>
      <c r="G12" s="233">
        <f>ROUND('Додаток 1'!K59,2)</f>
        <v>1769.5</v>
      </c>
      <c r="H12" s="234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1769.91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197" t="s">
        <v>53</v>
      </c>
      <c r="E13" s="198"/>
      <c r="F13" s="53">
        <f>('Додаток 1'!G49)/F37*1000</f>
        <v>1676.633568026323</v>
      </c>
      <c r="G13" s="235">
        <f>('Додаток 1'!K49)/G37*1000</f>
        <v>1676.5728276263958</v>
      </c>
      <c r="H13" s="236"/>
      <c r="I13" s="53">
        <v>0</v>
      </c>
      <c r="J13" s="53">
        <v>0</v>
      </c>
      <c r="K13" s="55">
        <f>('Додаток 1'!AA49)/K37*1000</f>
        <v>1676.9350575047545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197" t="s">
        <v>21</v>
      </c>
      <c r="E14" s="198"/>
      <c r="F14" s="39">
        <v>0</v>
      </c>
      <c r="G14" s="223">
        <v>0</v>
      </c>
      <c r="H14" s="224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197" t="s">
        <v>53</v>
      </c>
      <c r="E15" s="198"/>
      <c r="F15" s="53">
        <f>F12-F13</f>
        <v>92.936431973676918</v>
      </c>
      <c r="G15" s="229">
        <f>G12-G13</f>
        <v>92.927172373604208</v>
      </c>
      <c r="H15" s="230"/>
      <c r="I15" s="53">
        <v>0</v>
      </c>
      <c r="J15" s="53">
        <v>0</v>
      </c>
      <c r="K15" s="53">
        <f>K12-K13</f>
        <v>92.974942495245614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31" t="s">
        <v>53</v>
      </c>
      <c r="E16" s="232"/>
      <c r="F16" s="70">
        <f>F17+F18+F19</f>
        <v>0</v>
      </c>
      <c r="G16" s="233">
        <f t="shared" ref="G16:K16" si="1">G17+G18+G19</f>
        <v>0</v>
      </c>
      <c r="H16" s="234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197" t="s">
        <v>53</v>
      </c>
      <c r="E17" s="198"/>
      <c r="F17" s="39">
        <f>G17+I17+J17+K17</f>
        <v>0</v>
      </c>
      <c r="G17" s="223">
        <v>0</v>
      </c>
      <c r="H17" s="224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197" t="s">
        <v>21</v>
      </c>
      <c r="E18" s="198"/>
      <c r="F18" s="39">
        <f>G18+I18+J18+K18</f>
        <v>0</v>
      </c>
      <c r="G18" s="223">
        <v>0</v>
      </c>
      <c r="H18" s="224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197" t="s">
        <v>53</v>
      </c>
      <c r="E19" s="198"/>
      <c r="F19" s="39">
        <f>G19+I19+J19+K19</f>
        <v>0</v>
      </c>
      <c r="G19" s="223">
        <v>0</v>
      </c>
      <c r="H19" s="224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31" t="s">
        <v>53</v>
      </c>
      <c r="E20" s="232"/>
      <c r="F20" s="70">
        <f>ROUND('Додаток 3'!G43,2)</f>
        <v>58.88</v>
      </c>
      <c r="G20" s="233">
        <f>ROUND('Додаток 3'!H43,2)</f>
        <v>58.89</v>
      </c>
      <c r="H20" s="234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58.8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197" t="s">
        <v>53</v>
      </c>
      <c r="E21" s="198"/>
      <c r="F21" s="53">
        <f>('Додаток 3'!G34)/F37*1000</f>
        <v>55.750688888770455</v>
      </c>
      <c r="G21" s="235">
        <f>('Додаток 3'!H34)/G37*1000</f>
        <v>55.765513752469431</v>
      </c>
      <c r="H21" s="236"/>
      <c r="I21" s="53">
        <v>0</v>
      </c>
      <c r="J21" s="53">
        <v>0</v>
      </c>
      <c r="K21" s="53">
        <f>('Додаток 3'!I34)/K37*1000</f>
        <v>55.677104578660462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197" t="s">
        <v>21</v>
      </c>
      <c r="E22" s="198"/>
      <c r="F22" s="39">
        <f t="shared" ref="F22:F26" si="3">G22+I22+J22+K22</f>
        <v>0</v>
      </c>
      <c r="G22" s="223">
        <v>0</v>
      </c>
      <c r="H22" s="224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197" t="s">
        <v>53</v>
      </c>
      <c r="E23" s="198"/>
      <c r="F23" s="53">
        <f>F20-F21</f>
        <v>3.1293111112295477</v>
      </c>
      <c r="G23" s="229">
        <f>G20-G21</f>
        <v>3.1244862475305695</v>
      </c>
      <c r="H23" s="230"/>
      <c r="I23" s="53">
        <v>0</v>
      </c>
      <c r="J23" s="53">
        <v>0</v>
      </c>
      <c r="K23" s="53">
        <f>K20-K21</f>
        <v>3.1228954213395355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31" t="s">
        <v>53</v>
      </c>
      <c r="E24" s="232"/>
      <c r="F24" s="70">
        <f>F12+F16+F20</f>
        <v>1828.45</v>
      </c>
      <c r="G24" s="233">
        <f>G12+G16+G20</f>
        <v>1828.39</v>
      </c>
      <c r="H24" s="234"/>
      <c r="I24" s="70">
        <f t="shared" ref="I24:J24" si="4">I12+I20</f>
        <v>0</v>
      </c>
      <c r="J24" s="70">
        <f t="shared" si="4"/>
        <v>0</v>
      </c>
      <c r="K24" s="70">
        <f>K12+K16+K20</f>
        <v>1828.71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197" t="s">
        <v>53</v>
      </c>
      <c r="E25" s="198"/>
      <c r="F25" s="39">
        <f>F13+F17+F21</f>
        <v>1732.3842569150934</v>
      </c>
      <c r="G25" s="217">
        <f>G13+G17+G21</f>
        <v>1732.3383413788652</v>
      </c>
      <c r="H25" s="218"/>
      <c r="I25" s="39">
        <f t="shared" ref="I25:K25" si="5">I13+I17+I21</f>
        <v>0</v>
      </c>
      <c r="J25" s="39">
        <f t="shared" si="5"/>
        <v>0</v>
      </c>
      <c r="K25" s="39">
        <f t="shared" si="5"/>
        <v>1732.6121620834149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197" t="s">
        <v>21</v>
      </c>
      <c r="E26" s="198"/>
      <c r="F26" s="39">
        <f t="shared" si="3"/>
        <v>0</v>
      </c>
      <c r="G26" s="223">
        <f>G14+G18+G22</f>
        <v>0</v>
      </c>
      <c r="H26" s="224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197" t="s">
        <v>53</v>
      </c>
      <c r="E27" s="198"/>
      <c r="F27" s="39">
        <f>F15+F19+F23</f>
        <v>96.065743084906472</v>
      </c>
      <c r="G27" s="217">
        <f>G15+G19+G23</f>
        <v>96.051658621134777</v>
      </c>
      <c r="H27" s="218"/>
      <c r="I27" s="39">
        <v>0</v>
      </c>
      <c r="J27" s="39">
        <f t="shared" ref="J27" si="6">J24-J25-J26</f>
        <v>0</v>
      </c>
      <c r="K27" s="39">
        <f>K15+K19+K23</f>
        <v>96.097837916585149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197" t="s">
        <v>21</v>
      </c>
      <c r="E28" s="198"/>
      <c r="F28" s="39">
        <f>F29+F30+F31</f>
        <v>2058.33</v>
      </c>
      <c r="G28" s="199">
        <f>G29+G30+G31</f>
        <v>1713.13</v>
      </c>
      <c r="H28" s="200"/>
      <c r="I28" s="83">
        <f t="shared" ref="I28:J29" si="7">I29+I30+I31</f>
        <v>0</v>
      </c>
      <c r="J28" s="83">
        <f t="shared" si="7"/>
        <v>0</v>
      </c>
      <c r="K28" s="83">
        <f>K29+K30+K31</f>
        <v>345.2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197" t="s">
        <v>21</v>
      </c>
      <c r="E29" s="198"/>
      <c r="F29" s="83">
        <f>G29+K29</f>
        <v>1950.19</v>
      </c>
      <c r="G29" s="225">
        <f>ROUND('Додаток 1'!K49+'Додаток 3'!H34,2)</f>
        <v>1623.13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327.06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197" t="s">
        <v>21</v>
      </c>
      <c r="E30" s="198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197" t="s">
        <v>21</v>
      </c>
      <c r="E31" s="198"/>
      <c r="F31" s="83">
        <f>G31+K31</f>
        <v>108.14</v>
      </c>
      <c r="G31" s="225">
        <f>ROUND('Додаток 1'!K51+'Додаток 3'!H36,2)</f>
        <v>90</v>
      </c>
      <c r="H31" s="226"/>
      <c r="I31" s="83">
        <v>0</v>
      </c>
      <c r="J31" s="83">
        <v>0</v>
      </c>
      <c r="K31" s="77">
        <f>ROUND('Додаток 1'!AA51+'Додаток 3'!I36,2)</f>
        <v>18.14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197" t="s">
        <v>21</v>
      </c>
      <c r="E32" s="198"/>
      <c r="F32" s="39">
        <f>F33+F34+F35</f>
        <v>2058.33</v>
      </c>
      <c r="G32" s="217">
        <f t="shared" ref="G32:K32" si="8">G28</f>
        <v>1713.13</v>
      </c>
      <c r="H32" s="218"/>
      <c r="I32" s="39">
        <v>0</v>
      </c>
      <c r="J32" s="39">
        <v>0</v>
      </c>
      <c r="K32" s="39">
        <f t="shared" si="8"/>
        <v>345.2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197" t="s">
        <v>21</v>
      </c>
      <c r="E33" s="198"/>
      <c r="F33" s="39">
        <f>F29</f>
        <v>1950.19</v>
      </c>
      <c r="G33" s="217">
        <f t="shared" ref="G33:K33" si="9">G29</f>
        <v>1623.13</v>
      </c>
      <c r="H33" s="218"/>
      <c r="I33" s="39">
        <f t="shared" si="9"/>
        <v>0</v>
      </c>
      <c r="J33" s="39">
        <f t="shared" si="9"/>
        <v>0</v>
      </c>
      <c r="K33" s="39">
        <f t="shared" si="9"/>
        <v>327.06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197" t="s">
        <v>21</v>
      </c>
      <c r="E34" s="198"/>
      <c r="F34" s="39">
        <v>0</v>
      </c>
      <c r="G34" s="223">
        <v>0</v>
      </c>
      <c r="H34" s="224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197" t="s">
        <v>21</v>
      </c>
      <c r="E35" s="198"/>
      <c r="F35" s="39">
        <f>F31</f>
        <v>108.14</v>
      </c>
      <c r="G35" s="217">
        <f t="shared" ref="G35:K35" si="10">G32-G33-G34</f>
        <v>90</v>
      </c>
      <c r="H35" s="218"/>
      <c r="I35" s="39">
        <f t="shared" si="10"/>
        <v>0</v>
      </c>
      <c r="J35" s="39">
        <f t="shared" si="10"/>
        <v>0</v>
      </c>
      <c r="K35" s="39">
        <f t="shared" si="10"/>
        <v>18.139999999999986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197" t="s">
        <v>57</v>
      </c>
      <c r="E36" s="198"/>
      <c r="F36" s="40">
        <f>F37+F38</f>
        <v>1125.7259999999999</v>
      </c>
      <c r="G36" s="219">
        <f t="shared" ref="G36:K36" si="11">G37+G38</f>
        <v>936.95899999999995</v>
      </c>
      <c r="H36" s="220"/>
      <c r="I36" s="40">
        <f t="shared" si="11"/>
        <v>0</v>
      </c>
      <c r="J36" s="40">
        <f t="shared" si="11"/>
        <v>0</v>
      </c>
      <c r="K36" s="40">
        <f t="shared" si="11"/>
        <v>188.767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197" t="s">
        <v>57</v>
      </c>
      <c r="E37" s="198"/>
      <c r="F37" s="40">
        <f>G37+K37</f>
        <v>1125.7259999999999</v>
      </c>
      <c r="G37" s="221">
        <f>'Додаток 1'!K67</f>
        <v>936.95899999999995</v>
      </c>
      <c r="H37" s="222"/>
      <c r="I37" s="40">
        <v>0</v>
      </c>
      <c r="J37" s="40">
        <v>0</v>
      </c>
      <c r="K37" s="99">
        <f>'Додаток 1'!AA67</f>
        <v>188.767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197" t="s">
        <v>57</v>
      </c>
      <c r="E38" s="198"/>
      <c r="F38" s="40">
        <v>0</v>
      </c>
      <c r="G38" s="211">
        <v>0</v>
      </c>
      <c r="H38" s="21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13"/>
      <c r="E39" s="214"/>
      <c r="F39" s="86" t="s">
        <v>129</v>
      </c>
      <c r="G39" s="215" t="s">
        <v>129</v>
      </c>
      <c r="H39" s="21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197" t="s">
        <v>111</v>
      </c>
      <c r="E40" s="198"/>
      <c r="F40" s="83">
        <f>F15/F13*100</f>
        <v>5.5430377719968105</v>
      </c>
      <c r="G40" s="199">
        <f t="shared" ref="G40:K40" si="12">G15/G13*100</f>
        <v>5.5426862968527075</v>
      </c>
      <c r="H40" s="200"/>
      <c r="I40" s="83">
        <v>0</v>
      </c>
      <c r="J40" s="83">
        <v>0</v>
      </c>
      <c r="K40" s="83">
        <f t="shared" si="12"/>
        <v>5.5443376938872309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197" t="s">
        <v>111</v>
      </c>
      <c r="E41" s="198"/>
      <c r="F41" s="83">
        <v>0</v>
      </c>
      <c r="G41" s="199">
        <v>0</v>
      </c>
      <c r="H41" s="200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01" t="s">
        <v>111</v>
      </c>
      <c r="E42" s="155"/>
      <c r="F42" s="84">
        <f>F23/F21*100</f>
        <v>5.6130447418737948</v>
      </c>
      <c r="G42" s="202">
        <f t="shared" ref="G42:K42" si="13">G23/G21*100</f>
        <v>5.6029004976076449</v>
      </c>
      <c r="H42" s="203"/>
      <c r="I42" s="84">
        <v>0</v>
      </c>
      <c r="J42" s="84">
        <v>0</v>
      </c>
      <c r="K42" s="84">
        <f t="shared" si="13"/>
        <v>5.6089400570884882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04" t="s">
        <v>111</v>
      </c>
      <c r="E43" s="205"/>
      <c r="F43" s="85">
        <f>F27/F25*100</f>
        <v>5.5452906998804936</v>
      </c>
      <c r="G43" s="206">
        <f t="shared" ref="G43:K43" si="14">G27/G25*100</f>
        <v>5.5446246455921475</v>
      </c>
      <c r="H43" s="207"/>
      <c r="I43" s="85">
        <v>0</v>
      </c>
      <c r="J43" s="85">
        <v>0</v>
      </c>
      <c r="K43" s="85">
        <f t="shared" si="14"/>
        <v>5.5464136763896628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08" t="s">
        <v>134</v>
      </c>
      <c r="C45" s="208"/>
      <c r="D45" s="208"/>
      <c r="E45" s="208"/>
      <c r="F45" s="24"/>
      <c r="G45" s="24"/>
      <c r="H45" s="29"/>
      <c r="I45" s="29"/>
      <c r="J45" s="29"/>
      <c r="K45" s="29"/>
      <c r="L45" s="30"/>
    </row>
    <row r="46" spans="1:12" ht="21.75" customHeight="1">
      <c r="A46" s="209" t="s">
        <v>155</v>
      </c>
      <c r="B46" s="209"/>
      <c r="C46" s="209"/>
      <c r="D46" s="209"/>
      <c r="E46" s="210"/>
      <c r="F46" s="210"/>
      <c r="G46" s="210"/>
      <c r="H46" s="196" t="s">
        <v>133</v>
      </c>
      <c r="I46" s="196"/>
      <c r="J46" s="196"/>
      <c r="K46" s="196"/>
      <c r="L46" s="196"/>
    </row>
    <row r="47" spans="1:12" ht="29.25" customHeight="1">
      <c r="A47" s="180" t="s">
        <v>64</v>
      </c>
      <c r="B47" s="180"/>
      <c r="C47" s="180"/>
      <c r="D47" s="180"/>
      <c r="E47" s="180" t="s">
        <v>65</v>
      </c>
      <c r="F47" s="180"/>
      <c r="G47" s="180"/>
      <c r="H47" s="180" t="s">
        <v>66</v>
      </c>
      <c r="I47" s="180"/>
      <c r="J47" s="180"/>
      <c r="K47" s="180"/>
      <c r="L47" s="180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2021-05-31T13:28:33Z</dcterms:modified>
</cp:coreProperties>
</file>