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39" i="2" l="1"/>
  <c r="AA54" i="1" s="1"/>
  <c r="I31" i="2"/>
  <c r="I29" i="2"/>
  <c r="I27" i="2"/>
  <c r="AA41" i="1" s="1"/>
  <c r="I25" i="2"/>
  <c r="H40" i="2"/>
  <c r="K55" i="1" s="1"/>
  <c r="H39" i="2"/>
  <c r="K54" i="1" s="1"/>
  <c r="H31" i="2"/>
  <c r="H29" i="2"/>
  <c r="H27" i="2"/>
  <c r="AA62" i="1"/>
  <c r="AA38" i="1"/>
  <c r="AA36" i="1"/>
  <c r="AA33" i="1"/>
  <c r="AA31" i="1"/>
  <c r="AA30" i="1"/>
  <c r="AA25" i="1"/>
  <c r="AA23" i="1"/>
  <c r="AA22" i="1"/>
  <c r="AA20" i="1"/>
  <c r="AA19" i="1"/>
  <c r="K62" i="1"/>
  <c r="K41" i="1"/>
  <c r="K38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40" i="2"/>
  <c r="AA55" i="1" s="1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H34" i="2" s="1"/>
  <c r="G25" i="2"/>
  <c r="I28" i="2"/>
  <c r="I24" i="2"/>
  <c r="I34" i="2" l="1"/>
  <c r="I41" i="2" s="1"/>
  <c r="I37" i="2" s="1"/>
  <c r="I36" i="2" s="1"/>
  <c r="I42" i="2" s="1"/>
  <c r="I43" i="2" s="1"/>
  <c r="K20" i="3" s="1"/>
  <c r="H41" i="2"/>
  <c r="H37" i="2" s="1"/>
  <c r="H36" i="2" s="1"/>
  <c r="H42" i="2" s="1"/>
  <c r="H43" i="2" s="1"/>
  <c r="G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<sst xmlns="http://schemas.openxmlformats.org/spreadsheetml/2006/main" count="421" uniqueCount="159">
  <si>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</si>
  <si>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</si>
  <si>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</si>
  <si>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</si>
  <si>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</si>
  <si>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</si>
  <si>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</si>
  <si>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</si>
  <si>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</si>
  <si>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</si>
  <si>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</si>
  <si>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</si>
  <si>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</si>
  <si>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</si>
  <si>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</si>
  <si>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</si>
  <si>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</si>
  <si>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</si>
  <si>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</si>
  <si>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</si>
  <si>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</si>
  <si>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</si>
  <si>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</si>
  <si>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</si>
  <si>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</si>
  <si>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</si>
  <si>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</si>
  <si>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</si>
  <si>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</si>
  <si>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</si>
  <si>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</si>
  <si>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</si>
  <si>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</si>
  <si>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</si>
  <si>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</si>
  <si>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</si>
  <si>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</si>
  <si>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</si>
  <si>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</si>
  <si>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</si>
  <si>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</si>
  <si>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</si>
  <si>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</si>
  <si>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</si>
  <si>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</si>
  <si>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</si>
  <si>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</si>
  <si>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</si>
  <si>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</si>
  <si>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</si>
  <si>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</si>
  <si>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</si>
  <si>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</si>
  <si>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</si>
  <si>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</si>
  <si>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</si>
  <si>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</si>
  <si>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</si>
  <si>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</si>
  <si>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</si>
  <si>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</si>
  <si>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</si>
  <si>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</si>
  <si>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</si>
  <si>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</si>
  <si>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</si>
  <si>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</si>
  <si>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</si>
  <si>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</si>
  <si>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</si>
  <si>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</si>
  <si>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</si>
  <si>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</si>
  <si>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</si>
  <si>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</si>
  <si>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</si>
  <si>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</si>
  <si>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</si>
  <si>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</si>
  <si>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</si>
  <si>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</si>
  <si>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</si>
  <si>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</si>
  <si>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</si>
  <si>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</si>
  <si>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</si>
  <si>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</si>
  <si>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</si>
  <si>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</si>
  <si>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</si>
  <si>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</si>
  <si>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</si>
  <si>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</si>
  <si>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</si>
  <si>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</si>
  <si>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</si>
  <si>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</si>
  <si>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</si>
  <si>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</si>
  <si>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</si>
  <si>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</si>
  <si>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</si>
  <si>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</si>
  <si>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</si>
  <si>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</si>
  <si>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</si>
  <si>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</si>
  <si>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</si>
  <si>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</si>
  <si>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</si>
  <si>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</si>
  <si>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</si>
  <si>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</si>
  <si>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</si>
  <si>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</si>
  <si>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</si>
  <si>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</si>
  <si>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</si>
  <si>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</si>
  <si>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</si>
  <si>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</si>
  <si>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</si>
  <si>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</si>
  <si>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</si>
  <si>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</si>
  <si>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</si>
  <si>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</si>
  <si>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</si>
  <si>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</si>
  <si>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</si>
  <si>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</si>
  <si>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</si>
  <si>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</si>
  <si>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</si>
  <si>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</si>
  <si>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</si>
  <si>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</si>
  <si>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</si>
  <si>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</si>
  <si>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</si>
  <si>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</si>
  <si>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</si>
  <si>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</si>
  <si>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</si>
  <si>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</si>
  <si>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</si>
  <si>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</si>
  <si>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</si>
  <si>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</si>
  <si>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</si>
  <si>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</si>
  <si>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</si>
  <si>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</si>
  <si>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</si>
  <si>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</si>
  <si>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</si>
  <si>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за адресою: м.Вишневе  вул. Святошинська 27Б/70</t>
  </si>
  <si>
    <t xml:space="preserve">          за адресою: м.Вишневе  вул. Святошнська 27Б/70</t>
  </si>
  <si>
    <t xml:space="preserve">             за адресою: м.Вишневе  вул. Святошинська 27Б/70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</si>
</sst>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7">
          <cell r="C7">
            <v>409.74400000000003</v>
          </cell>
          <cell r="D7">
            <v>49.2</v>
          </cell>
          <cell r="S7">
            <v>1.3</v>
          </cell>
          <cell r="T7">
            <v>0.16</v>
          </cell>
          <cell r="V7">
            <v>77.12</v>
          </cell>
          <cell r="W7">
            <v>9.26</v>
          </cell>
          <cell r="AE7">
            <v>2.64</v>
          </cell>
          <cell r="AF7">
            <v>0.32</v>
          </cell>
          <cell r="AH7">
            <v>15.06</v>
          </cell>
          <cell r="AI7">
            <v>1.81</v>
          </cell>
          <cell r="AN7">
            <v>10.119999999999999</v>
          </cell>
          <cell r="AO7">
            <v>1.22</v>
          </cell>
          <cell r="AT7">
            <v>36.840000000000003</v>
          </cell>
          <cell r="AU7">
            <v>4.42</v>
          </cell>
          <cell r="BC7">
            <v>31.44</v>
          </cell>
          <cell r="BD7">
            <v>3.75</v>
          </cell>
          <cell r="BI7">
            <v>7.83</v>
          </cell>
          <cell r="BJ7">
            <v>0.93</v>
          </cell>
          <cell r="BO7">
            <v>16.39</v>
          </cell>
          <cell r="BP7">
            <v>1.97</v>
          </cell>
          <cell r="BU7">
            <v>1.37</v>
          </cell>
          <cell r="BV7">
            <v>0.16</v>
          </cell>
          <cell r="CG7">
            <v>0</v>
          </cell>
          <cell r="CH7">
            <v>0</v>
          </cell>
          <cell r="CJ7">
            <v>18.079999999999998</v>
          </cell>
          <cell r="CK7">
            <v>2.17</v>
          </cell>
          <cell r="DB7">
            <v>458018.43</v>
          </cell>
          <cell r="DC7">
            <v>54993.87</v>
          </cell>
          <cell r="DK7">
            <v>29093.84</v>
          </cell>
          <cell r="DL7">
            <v>3494.45</v>
          </cell>
          <cell r="DR7">
            <v>1073.26</v>
          </cell>
          <cell r="DS7">
            <v>104.26</v>
          </cell>
        </row>
        <row r="15">
          <cell r="CH15">
            <v>0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51" activePane="bottomRight" state="frozen"/>
      <selection pane="topRight" activeCell="I1" sqref="I1"/>
      <selection pane="bottomLeft" activeCell="A13" sqref="A13"/>
      <selection pane="bottomRight" activeCell="AA54" sqref="AA54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85" t="s">
        <v>0</v>
      </c>
      <c r="V4" s="186"/>
      <c r="W4" s="186"/>
      <c r="X4" s="186"/>
      <c r="Y4" s="186"/>
      <c r="Z4" s="186"/>
      <c r="AA4" s="186"/>
    </row>
    <row r="5" spans="1:27" ht="20.25">
      <c r="A5" s="1"/>
      <c r="U5" s="185" t="s">
        <v>150</v>
      </c>
      <c r="V5" s="186"/>
      <c r="W5" s="186"/>
      <c r="X5" s="186"/>
      <c r="Y5" s="186"/>
      <c r="Z5" s="186"/>
      <c r="AA5" s="186"/>
    </row>
    <row r="6" spans="1:27" ht="20.25">
      <c r="A6" s="1"/>
      <c r="U6" s="185" t="s">
        <v>145</v>
      </c>
      <c r="V6" s="186"/>
      <c r="W6" s="186"/>
      <c r="X6" s="186"/>
      <c r="Y6" s="186"/>
      <c r="Z6" s="186"/>
      <c r="AA6" s="186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156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16" t="s">
        <v>3</v>
      </c>
      <c r="B11" s="117"/>
      <c r="C11" s="117"/>
      <c r="D11" s="172"/>
      <c r="E11" s="184"/>
      <c r="F11" s="184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18"/>
      <c r="B12" s="117"/>
      <c r="C12" s="117"/>
      <c r="D12" s="172"/>
      <c r="E12" s="184"/>
      <c r="F12" s="184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18"/>
      <c r="B13" s="117"/>
      <c r="C13" s="117"/>
      <c r="D13" s="172"/>
      <c r="E13" s="184"/>
      <c r="F13" s="184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18"/>
      <c r="B14" s="117"/>
      <c r="C14" s="117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728.54000000000008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650.46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78.08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78.08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548.22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489.48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58.74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58.74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513.01</v>
      </c>
      <c r="H19" s="53">
        <v>0</v>
      </c>
      <c r="I19" s="53">
        <v>0</v>
      </c>
      <c r="J19" s="53">
        <v>0</v>
      </c>
      <c r="K19" s="72">
        <f>ROUND('[1]Витрати 20 -21'!$DB$7/1000,2)</f>
        <v>458.02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54.99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20 -21'!$DC$7/1000,2)</f>
        <v>54.99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32.58</v>
      </c>
      <c r="H20" s="53">
        <v>0</v>
      </c>
      <c r="I20" s="53">
        <v>0</v>
      </c>
      <c r="J20" s="53">
        <v>0</v>
      </c>
      <c r="K20" s="72">
        <f>ROUND('[1]Витрати 20 -21'!$DK$7/1000,2)</f>
        <v>29.09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3.49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20 -21'!$DL$7/1000,2)</f>
        <v>3.49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1.1700000000000002</v>
      </c>
      <c r="H22" s="53">
        <v>0</v>
      </c>
      <c r="I22" s="53">
        <v>0</v>
      </c>
      <c r="J22" s="53">
        <v>0</v>
      </c>
      <c r="K22" s="72">
        <f>ROUND('[1]Витрати 20 -21'!$DR$7/1000,2)</f>
        <v>1.07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20 -21'!$DS$7/1000,2)</f>
        <v>0.1</v>
      </c>
    </row>
    <row r="23" spans="1:28" ht="24.75" customHeight="1" thickBot="1">
      <c r="A23" s="160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1.46</v>
      </c>
      <c r="H23" s="53"/>
      <c r="I23" s="53"/>
      <c r="J23" s="53"/>
      <c r="K23" s="146">
        <f>ROUND('[1]Витрати 20 -21'!$S$7,2)</f>
        <v>1.3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0.16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6">
        <f>ROUND('[1]Витрати 20 -21'!$T$7,2)</f>
        <v>0.16</v>
      </c>
    </row>
    <row r="24" spans="1:28" ht="30.75" customHeight="1" thickBot="1">
      <c r="A24" s="161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7"/>
      <c r="L24" s="136"/>
      <c r="M24" s="162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7"/>
    </row>
    <row r="25" spans="1:28" ht="21.75" customHeight="1" thickBot="1">
      <c r="A25" s="158">
        <v>1.2</v>
      </c>
      <c r="B25" s="49" t="s">
        <v>27</v>
      </c>
      <c r="C25" s="156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86.38000000000001</v>
      </c>
      <c r="H25" s="53"/>
      <c r="I25" s="53"/>
      <c r="J25" s="53"/>
      <c r="K25" s="146">
        <f>ROUND('[1]Витрати 20 -21'!$V$7,2)</f>
        <v>77.12</v>
      </c>
      <c r="L25" s="163">
        <v>0</v>
      </c>
      <c r="M25" s="165">
        <v>0</v>
      </c>
      <c r="N25" s="167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9.26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6">
        <f>ROUND('[1]Витрати 20 -21'!$W$7,2)</f>
        <v>9.26</v>
      </c>
    </row>
    <row r="26" spans="1:28" ht="32.25" customHeight="1" thickBot="1">
      <c r="A26" s="159"/>
      <c r="B26" s="50" t="s">
        <v>28</v>
      </c>
      <c r="C26" s="157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7"/>
      <c r="L26" s="164"/>
      <c r="M26" s="166"/>
      <c r="N26" s="168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7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38.840000000000003</v>
      </c>
      <c r="H27" s="53">
        <v>0</v>
      </c>
      <c r="I27" s="53">
        <v>0</v>
      </c>
      <c r="J27" s="53">
        <v>0</v>
      </c>
      <c r="K27" s="53">
        <f>ROUND(K28+K29+K30+K31,2)</f>
        <v>34.67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4.17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4.17</v>
      </c>
    </row>
    <row r="28" spans="1:28" ht="20.25" customHeight="1" thickBot="1">
      <c r="A28" s="154" t="s">
        <v>120</v>
      </c>
      <c r="B28" s="49" t="s">
        <v>30</v>
      </c>
      <c r="C28" s="156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19.009999999999998</v>
      </c>
      <c r="H28" s="53"/>
      <c r="I28" s="53"/>
      <c r="J28" s="53"/>
      <c r="K28" s="131">
        <f>ROUND(K25*22%,2)</f>
        <v>16.97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2.04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2.04</v>
      </c>
    </row>
    <row r="29" spans="1:28" ht="30" customHeight="1" thickBot="1">
      <c r="A29" s="155"/>
      <c r="B29" s="50" t="s">
        <v>31</v>
      </c>
      <c r="C29" s="157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2.96</v>
      </c>
      <c r="H30" s="53">
        <v>0</v>
      </c>
      <c r="I30" s="53">
        <v>0</v>
      </c>
      <c r="J30" s="53">
        <v>0</v>
      </c>
      <c r="K30" s="72">
        <f>ROUND('[1]Витрати 20 -21'!$AE$7,2)</f>
        <v>2.64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0.32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20 -21'!$AF$7,2)</f>
        <v>0.32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16.87</v>
      </c>
      <c r="H31" s="53">
        <v>0</v>
      </c>
      <c r="I31" s="53">
        <v>0</v>
      </c>
      <c r="J31" s="53">
        <v>0</v>
      </c>
      <c r="K31" s="72">
        <f>ROUND('[1]Витрати 20 -21'!$AH$7,2)</f>
        <v>15.06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1.81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20 -21'!$AI$7,2)</f>
        <v>1.81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55.099999999999994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49.19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5.91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5.91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11.34</v>
      </c>
      <c r="H33" s="53">
        <v>0</v>
      </c>
      <c r="I33" s="53">
        <v>0</v>
      </c>
      <c r="J33" s="53">
        <v>0</v>
      </c>
      <c r="K33" s="72">
        <f>ROUND('[1]Витрати 20 -21'!$AN$7,2)</f>
        <v>10.119999999999999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1.22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20 -21'!$AO$7,2)</f>
        <v>1.22</v>
      </c>
    </row>
    <row r="34" spans="1:27" ht="20.25">
      <c r="A34" s="152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2.5</v>
      </c>
      <c r="H34" s="131">
        <v>0</v>
      </c>
      <c r="I34" s="131">
        <v>0</v>
      </c>
      <c r="J34" s="131">
        <v>0</v>
      </c>
      <c r="K34" s="133">
        <f>ROUND(K33*22%,2)</f>
        <v>2.23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0.27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0.27</v>
      </c>
    </row>
    <row r="35" spans="1:27" ht="21" thickBot="1">
      <c r="A35" s="153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41.260000000000005</v>
      </c>
      <c r="H36" s="53">
        <v>0</v>
      </c>
      <c r="I36" s="53">
        <v>0</v>
      </c>
      <c r="J36" s="53">
        <v>0</v>
      </c>
      <c r="K36" s="72">
        <f>ROUND('[1]Витрати 20 -21'!$AT$7,2)</f>
        <v>36.840000000000003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4.42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20 -21'!$AU$7,2)</f>
        <v>4.42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50.01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44.68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5.33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5.33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34.050000000000004</v>
      </c>
      <c r="H38" s="53">
        <v>0</v>
      </c>
      <c r="I38" s="53">
        <v>0</v>
      </c>
      <c r="J38" s="53">
        <v>0</v>
      </c>
      <c r="K38" s="72">
        <f>ROUND('[1]Витрати 20 -21'!$BC$7-'Додаток 3'!H25,2)</f>
        <v>30.42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3.63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20 -21'!$BD$7-'Додаток 3'!I25,2)</f>
        <v>3.63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7.49</v>
      </c>
      <c r="H39" s="131">
        <v>0</v>
      </c>
      <c r="I39" s="131">
        <v>0</v>
      </c>
      <c r="J39" s="131">
        <v>0</v>
      </c>
      <c r="K39" s="133">
        <f>ROUND(K38*22%,2)</f>
        <v>6.69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0.8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0.8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8.4700000000000006</v>
      </c>
      <c r="H41" s="53">
        <v>0</v>
      </c>
      <c r="I41" s="53">
        <v>0</v>
      </c>
      <c r="J41" s="53">
        <v>0</v>
      </c>
      <c r="K41" s="72">
        <f>ROUND('[1]Витрати 20 -21'!$BI$7-'Додаток 3'!H27,2)</f>
        <v>7.57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0.9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20 -21'!$BJ$7-'Додаток 3'!I27,2)</f>
        <v>0.9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46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47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778.55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695.14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83.41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83.41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42.879999999999995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38.28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4.5999999999999996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4.5999999999999996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7.72</v>
      </c>
      <c r="H52" s="79" t="s">
        <v>46</v>
      </c>
      <c r="I52" s="79" t="s">
        <v>46</v>
      </c>
      <c r="J52" s="53">
        <v>0</v>
      </c>
      <c r="K52" s="39">
        <f>ROUND(18%*(K53+K54+K55+K57)/82%,2)</f>
        <v>6.89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0.83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0.83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19.59</v>
      </c>
      <c r="H54" s="79" t="s">
        <v>46</v>
      </c>
      <c r="I54" s="79" t="s">
        <v>46</v>
      </c>
      <c r="J54" s="53">
        <v>0</v>
      </c>
      <c r="K54" s="72">
        <f>ROUND('[1]Витрати 20 -21'!$CJ$7-'Додаток 3'!H39,2)</f>
        <v>17.489999999999998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2.1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20 -21'!$CK$7-'Додаток 3'!I39,2)</f>
        <v>2.1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0</v>
      </c>
      <c r="H55" s="141" t="s">
        <v>46</v>
      </c>
      <c r="I55" s="141" t="s">
        <v>46</v>
      </c>
      <c r="J55" s="131">
        <v>0</v>
      </c>
      <c r="K55" s="146">
        <f>ROUND('[1]Витрати 20 -21'!$CG$7-'Додаток 3'!H40,2)</f>
        <v>0</v>
      </c>
      <c r="L55" s="148" t="s">
        <v>46</v>
      </c>
      <c r="M55" s="148" t="s">
        <v>46</v>
      </c>
      <c r="N55" s="135">
        <v>0</v>
      </c>
      <c r="O55" s="135">
        <v>0</v>
      </c>
      <c r="P55" s="150" t="s">
        <v>129</v>
      </c>
      <c r="Q55" s="141" t="s">
        <v>46</v>
      </c>
      <c r="R55" s="135">
        <f t="shared" si="9"/>
        <v>0</v>
      </c>
      <c r="S55" s="135">
        <f t="shared" si="10"/>
        <v>0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20 -21'!$CH$7-'Додаток 3'!I40,2)</f>
        <v>0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7"/>
      <c r="L56" s="149"/>
      <c r="M56" s="149"/>
      <c r="N56" s="136"/>
      <c r="O56" s="136"/>
      <c r="P56" s="151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15.57</v>
      </c>
      <c r="H57" s="79" t="s">
        <v>46</v>
      </c>
      <c r="I57" s="79" t="s">
        <v>46</v>
      </c>
      <c r="J57" s="53">
        <v>0</v>
      </c>
      <c r="K57" s="39">
        <f>ROUND(K49*2%,2)</f>
        <v>13.9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1.67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1.67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821.43</v>
      </c>
      <c r="H58" s="53">
        <v>0</v>
      </c>
      <c r="I58" s="53">
        <v>0</v>
      </c>
      <c r="J58" s="53">
        <v>0</v>
      </c>
      <c r="K58" s="53">
        <f>ROUND(K49+K51,2)</f>
        <v>733.42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88.01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88.01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1789.8262097336492</v>
      </c>
      <c r="H59" s="53">
        <v>0</v>
      </c>
      <c r="I59" s="53">
        <v>0</v>
      </c>
      <c r="J59" s="53">
        <v>0</v>
      </c>
      <c r="K59" s="53">
        <f>ROUND(K58/K62*1000,2)</f>
        <v>1789.95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1788.8200000000002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1788.82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1117.8052224236508</v>
      </c>
      <c r="H60" s="53">
        <v>0</v>
      </c>
      <c r="I60" s="53">
        <v>0</v>
      </c>
      <c r="J60" s="53">
        <v>0</v>
      </c>
      <c r="K60" s="53">
        <f>ROUND(K19/K62*1000,2)</f>
        <v>1117.82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1117.68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1117.68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672.02098730999842</v>
      </c>
      <c r="H61" s="53">
        <v>0</v>
      </c>
      <c r="I61" s="53">
        <v>0</v>
      </c>
      <c r="J61" s="53">
        <v>0</v>
      </c>
      <c r="K61" s="53">
        <f>ROUND(K59-K60,2)</f>
        <v>672.13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671.14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671.14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458.94400000000002</v>
      </c>
      <c r="H62" s="53">
        <v>0</v>
      </c>
      <c r="I62" s="53">
        <v>0</v>
      </c>
      <c r="J62" s="53">
        <v>0</v>
      </c>
      <c r="K62" s="87">
        <f>ROUND('[1]Витрати 20 -21'!$C$7,3)</f>
        <v>409.74400000000003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49.2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20 -21'!$D$7,3)</f>
        <v>49.2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458.94400000000002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409.74400000000003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49.2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49.2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1696.3943313345417</v>
      </c>
      <c r="H68" s="53">
        <v>0</v>
      </c>
      <c r="I68" s="53">
        <v>0</v>
      </c>
      <c r="J68" s="53">
        <v>0</v>
      </c>
      <c r="K68" s="53">
        <f>ROUND(K49/K67*1000,2)</f>
        <v>1696.52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1695.33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1695.33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3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4" t="s">
        <v>147</v>
      </c>
      <c r="B3" s="194"/>
      <c r="C3" s="194"/>
      <c r="D3" s="194"/>
      <c r="E3" s="194"/>
      <c r="F3" s="194"/>
      <c r="G3" s="194"/>
    </row>
    <row r="4" spans="1:9" ht="21" customHeight="1">
      <c r="A4" s="194" t="s">
        <v>148</v>
      </c>
      <c r="B4" s="194"/>
      <c r="C4" s="194"/>
      <c r="D4" s="194"/>
      <c r="E4" s="194"/>
      <c r="F4" s="194"/>
      <c r="G4" s="194"/>
    </row>
    <row r="5" spans="1:9" ht="21" customHeight="1">
      <c r="A5" s="194" t="s">
        <v>149</v>
      </c>
      <c r="B5" s="194"/>
      <c r="C5" s="194"/>
      <c r="D5" s="194"/>
      <c r="E5" s="194"/>
      <c r="F5" s="194"/>
      <c r="G5" s="194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5"/>
      <c r="B7" s="195"/>
      <c r="C7" s="195"/>
      <c r="D7" s="195"/>
      <c r="E7" s="195"/>
      <c r="F7" s="195"/>
      <c r="G7" s="195"/>
    </row>
    <row r="8" spans="1:9" ht="18.75" customHeight="1">
      <c r="A8" s="195" t="s">
        <v>152</v>
      </c>
      <c r="B8" s="195"/>
      <c r="C8" s="195"/>
      <c r="D8" s="195"/>
      <c r="E8" s="195"/>
      <c r="F8" s="195"/>
      <c r="G8" s="195"/>
    </row>
    <row r="9" spans="1:9" ht="24" thickBot="1">
      <c r="A9" s="63"/>
      <c r="B9" s="188" t="s">
        <v>157</v>
      </c>
      <c r="C9" s="188"/>
      <c r="D9" s="189"/>
      <c r="E9" s="189"/>
      <c r="F9" s="189"/>
      <c r="G9" s="64" t="s">
        <v>87</v>
      </c>
    </row>
    <row r="10" spans="1:9" ht="24" thickBot="1">
      <c r="A10" s="65"/>
      <c r="B10" s="66"/>
      <c r="C10" s="113"/>
      <c r="D10" s="190" t="s">
        <v>70</v>
      </c>
      <c r="E10" s="191"/>
      <c r="F10" s="191"/>
      <c r="G10" s="191"/>
      <c r="H10" s="192"/>
      <c r="I10" s="193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1.68</v>
      </c>
      <c r="H24" s="92">
        <f>ROUND(H25+H26+H27,2)</f>
        <v>1.5</v>
      </c>
      <c r="I24" s="92">
        <f>ROUND(I25+I26+I27,2)</f>
        <v>0.18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1.1400000000000001</v>
      </c>
      <c r="H25" s="93">
        <f>ROUND('[1]Витрати 20 -21'!$BC$7*'[1]Витрати 20 -21'!$BL$28%,2)</f>
        <v>1.02</v>
      </c>
      <c r="I25" s="93">
        <f>ROUND('[1]Витрати 20 -21'!$BD$7*'[1]Витрати 20 -21'!$BM$28%,2)</f>
        <v>0.12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0.25</v>
      </c>
      <c r="H26" s="92">
        <f>ROUND(H25*22%,2)</f>
        <v>0.22</v>
      </c>
      <c r="I26" s="92">
        <f>ROUND(I25*22%,2)</f>
        <v>0.03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0.29000000000000004</v>
      </c>
      <c r="H27" s="93">
        <f>ROUND('[1]Витрати 20 -21'!$BI$7*'[1]Витрати 20 -21'!$BL$28%,2)</f>
        <v>0.26</v>
      </c>
      <c r="I27" s="97">
        <f>ROUND('[1]Витрати 20 -21'!$BJ$7*'[1]Витрати 20 -21'!$BM$28%,2)</f>
        <v>0.03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23.93</v>
      </c>
      <c r="H28" s="92">
        <f>ROUND(H29+H30+H31,2)</f>
        <v>21.37</v>
      </c>
      <c r="I28" s="92">
        <f>ROUND(I29+I30+I31,2)</f>
        <v>2.56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18.36</v>
      </c>
      <c r="H29" s="93">
        <f>ROUND('[1]Витрати 20 -21'!$BO$7,2)</f>
        <v>16.39</v>
      </c>
      <c r="I29" s="93">
        <f>ROUND('[1]Витрати 20 -21'!$BP$7,2)</f>
        <v>1.97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4.04</v>
      </c>
      <c r="H30" s="92">
        <f>ROUND(H29*22%,2)</f>
        <v>3.61</v>
      </c>
      <c r="I30" s="92">
        <f>ROUND(I29*22%,2)</f>
        <v>0.43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1.53</v>
      </c>
      <c r="H31" s="93">
        <f>ROUND('[1]Витрати 20 -21'!$BU$7,2)</f>
        <v>1.37</v>
      </c>
      <c r="I31" s="93">
        <f>ROUND('[1]Витрати 20 -21'!$BV$7,2)</f>
        <v>0.16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25.61</v>
      </c>
      <c r="H34" s="92">
        <f>ROUND(H13+H24+H28+H32+H33,2)</f>
        <v>22.87</v>
      </c>
      <c r="I34" s="92">
        <f>ROUND(I13+I24+I28+I32+I33,2)</f>
        <v>2.74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1.43</v>
      </c>
      <c r="H36" s="92">
        <f>ROUND(H37+H38+H39+H40+H41,2)</f>
        <v>1.28</v>
      </c>
      <c r="I36" s="92">
        <f>ROUND(I37+I38+I39+I40+I41,2)</f>
        <v>0.15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0.26</v>
      </c>
      <c r="H37" s="95">
        <f>ROUND(18%*(H38+H39+H40+H41)/82%,2)</f>
        <v>0.23</v>
      </c>
      <c r="I37" s="95">
        <f>ROUND(18%*(I38+I39+I40+I41)/82%,2)</f>
        <v>0.03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0.65999999999999992</v>
      </c>
      <c r="H39" s="93">
        <f>ROUND('[1]Витрати 20 -21'!$CJ$7*'[1]Витрати 20 -21'!$BL$28%,2)</f>
        <v>0.59</v>
      </c>
      <c r="I39" s="93">
        <f>ROUND('[1]Витрати 20 -21'!$CK$7*'[1]Витрати 20 -21'!$BM$28%,2)</f>
        <v>7.0000000000000007E-2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20 -21'!$CG$7*'[1]Витрати 20 -21'!$BL$28%,2)</f>
        <v>0</v>
      </c>
      <c r="I40" s="93">
        <f>ROUND('[1]Витрати 20 -21'!$CH$15*'[1]Витрати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0.51</v>
      </c>
      <c r="H41" s="92">
        <f>ROUND(H34*2%,2)</f>
        <v>0.46</v>
      </c>
      <c r="I41" s="92">
        <f>ROUND(I34*2%,2)</f>
        <v>0.05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27.04</v>
      </c>
      <c r="H42" s="92">
        <f>ROUND(H34+H36,2)</f>
        <v>24.15</v>
      </c>
      <c r="I42" s="92">
        <f>ROUND(I34+I36,2)</f>
        <v>2.89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58.917863617347649</v>
      </c>
      <c r="H43" s="92">
        <f>ROUND(H42/H44*1000,2)</f>
        <v>58.94</v>
      </c>
      <c r="I43" s="92">
        <f>ROUND(I42/I44*1000,2)</f>
        <v>58.74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458.94400000000002</v>
      </c>
      <c r="H44" s="101">
        <f>ROUND('Додаток 1'!K67,3)</f>
        <v>409.74400000000003</v>
      </c>
      <c r="I44" s="101">
        <f>ROUND('Додаток 1'!AA67,3)</f>
        <v>49.2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409.74</v>
      </c>
      <c r="H45" s="92">
        <f>ROUND(H44,2)</f>
        <v>409.74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49.2</v>
      </c>
      <c r="H48" s="92">
        <v>0</v>
      </c>
      <c r="I48" s="100">
        <f>I44</f>
        <v>49.2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7" t="s">
        <v>133</v>
      </c>
      <c r="G52" s="187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zoomScale="60" workbookViewId="0">
      <selection activeCell="L24" sqref="L24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5" t="s">
        <v>153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2" ht="25.5" customHeight="1">
      <c r="A7" s="195" t="s">
        <v>154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2" ht="24" thickBot="1">
      <c r="A8" s="106"/>
      <c r="B8" s="63"/>
      <c r="C8" s="63"/>
      <c r="D8" s="67" t="s">
        <v>158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6" t="s">
        <v>69</v>
      </c>
      <c r="C9" s="196" t="s">
        <v>89</v>
      </c>
      <c r="D9" s="198" t="s">
        <v>5</v>
      </c>
      <c r="E9" s="199"/>
      <c r="F9" s="196" t="s">
        <v>6</v>
      </c>
      <c r="G9" s="202" t="s">
        <v>90</v>
      </c>
      <c r="H9" s="203"/>
      <c r="I9" s="203"/>
      <c r="J9" s="203"/>
      <c r="K9" s="204"/>
      <c r="L9" s="5"/>
    </row>
    <row r="10" spans="1:12" ht="58.5" customHeight="1" thickBot="1">
      <c r="A10" s="107"/>
      <c r="B10" s="197"/>
      <c r="C10" s="197"/>
      <c r="D10" s="200"/>
      <c r="E10" s="201"/>
      <c r="F10" s="197"/>
      <c r="G10" s="202" t="s">
        <v>82</v>
      </c>
      <c r="H10" s="204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5">
        <v>3</v>
      </c>
      <c r="E11" s="206"/>
      <c r="F11" s="18">
        <v>4</v>
      </c>
      <c r="G11" s="205">
        <v>5</v>
      </c>
      <c r="H11" s="206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7" t="s">
        <v>53</v>
      </c>
      <c r="E12" s="208"/>
      <c r="F12" s="70">
        <f>ROUND('Додаток 1'!G59,2)</f>
        <v>1789.83</v>
      </c>
      <c r="G12" s="209">
        <f>ROUND('Додаток 1'!K59,2)</f>
        <v>1789.95</v>
      </c>
      <c r="H12" s="210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1788.82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1" t="s">
        <v>53</v>
      </c>
      <c r="E13" s="212"/>
      <c r="F13" s="53">
        <f>('Додаток 1'!G49)/F37*1000</f>
        <v>1696.3943313345417</v>
      </c>
      <c r="G13" s="213">
        <f>('Додаток 1'!K49)/G37*1000</f>
        <v>1696.522706860869</v>
      </c>
      <c r="H13" s="214"/>
      <c r="I13" s="53">
        <v>0</v>
      </c>
      <c r="J13" s="53">
        <v>0</v>
      </c>
      <c r="K13" s="55">
        <f>('Додаток 1'!AA49)/K37*1000</f>
        <v>1695.3252032520322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1" t="s">
        <v>21</v>
      </c>
      <c r="E14" s="212"/>
      <c r="F14" s="39">
        <v>0</v>
      </c>
      <c r="G14" s="215">
        <v>0</v>
      </c>
      <c r="H14" s="21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1" t="s">
        <v>53</v>
      </c>
      <c r="E15" s="212"/>
      <c r="F15" s="53">
        <f>F12-F13</f>
        <v>93.435668665458252</v>
      </c>
      <c r="G15" s="217">
        <f>G12-G13</f>
        <v>93.427293139131052</v>
      </c>
      <c r="H15" s="218"/>
      <c r="I15" s="53">
        <v>0</v>
      </c>
      <c r="J15" s="53">
        <v>0</v>
      </c>
      <c r="K15" s="53">
        <f>K12-K13</f>
        <v>93.494796747967712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7" t="s">
        <v>53</v>
      </c>
      <c r="E16" s="208"/>
      <c r="F16" s="70">
        <f>F17+F18+F19</f>
        <v>0</v>
      </c>
      <c r="G16" s="209">
        <f t="shared" ref="G16:K16" si="1">G17+G18+G19</f>
        <v>0</v>
      </c>
      <c r="H16" s="210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1" t="s">
        <v>53</v>
      </c>
      <c r="E17" s="212"/>
      <c r="F17" s="39">
        <f>G17+I17+J17+K17</f>
        <v>0</v>
      </c>
      <c r="G17" s="215">
        <v>0</v>
      </c>
      <c r="H17" s="21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1" t="s">
        <v>21</v>
      </c>
      <c r="E18" s="212"/>
      <c r="F18" s="39">
        <f>G18+I18+J18+K18</f>
        <v>0</v>
      </c>
      <c r="G18" s="215">
        <v>0</v>
      </c>
      <c r="H18" s="21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1" t="s">
        <v>53</v>
      </c>
      <c r="E19" s="212"/>
      <c r="F19" s="39">
        <f>G19+I19+J19+K19</f>
        <v>0</v>
      </c>
      <c r="G19" s="215">
        <v>0</v>
      </c>
      <c r="H19" s="21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7" t="s">
        <v>53</v>
      </c>
      <c r="E20" s="208"/>
      <c r="F20" s="70">
        <f>ROUND('Додаток 3'!G43,2)</f>
        <v>58.92</v>
      </c>
      <c r="G20" s="209">
        <f>ROUND('Додаток 3'!H43,2)</f>
        <v>58.94</v>
      </c>
      <c r="H20" s="210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58.74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1" t="s">
        <v>53</v>
      </c>
      <c r="E21" s="212"/>
      <c r="F21" s="53">
        <f>('Додаток 3'!G34)/F37*1000</f>
        <v>55.802015060660992</v>
      </c>
      <c r="G21" s="213">
        <f>('Додаток 3'!H34)/G37*1000</f>
        <v>55.815338357608653</v>
      </c>
      <c r="H21" s="214"/>
      <c r="I21" s="53">
        <v>0</v>
      </c>
      <c r="J21" s="53">
        <v>0</v>
      </c>
      <c r="K21" s="53">
        <f>('Додаток 3'!I34)/K37*1000</f>
        <v>55.69105691056911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1" t="s">
        <v>21</v>
      </c>
      <c r="E22" s="212"/>
      <c r="F22" s="39">
        <f t="shared" ref="F22:F26" si="3">G22+I22+J22+K22</f>
        <v>0</v>
      </c>
      <c r="G22" s="215">
        <v>0</v>
      </c>
      <c r="H22" s="21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1" t="s">
        <v>53</v>
      </c>
      <c r="E23" s="212"/>
      <c r="F23" s="53">
        <f>F20-F21</f>
        <v>3.11798493933901</v>
      </c>
      <c r="G23" s="217">
        <f>G20-G21</f>
        <v>3.1246616423913451</v>
      </c>
      <c r="H23" s="218"/>
      <c r="I23" s="53">
        <v>0</v>
      </c>
      <c r="J23" s="53">
        <v>0</v>
      </c>
      <c r="K23" s="53">
        <f>K20-K21</f>
        <v>3.0489430894308924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7" t="s">
        <v>53</v>
      </c>
      <c r="E24" s="208"/>
      <c r="F24" s="70">
        <f>F12+F16+F20</f>
        <v>1848.75</v>
      </c>
      <c r="G24" s="209">
        <f>G12+G16+G20</f>
        <v>1848.89</v>
      </c>
      <c r="H24" s="210"/>
      <c r="I24" s="70">
        <f t="shared" ref="I24:J24" si="4">I12+I20</f>
        <v>0</v>
      </c>
      <c r="J24" s="70">
        <f t="shared" si="4"/>
        <v>0</v>
      </c>
      <c r="K24" s="70">
        <f>K12+K16+K20</f>
        <v>1847.56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1" t="s">
        <v>53</v>
      </c>
      <c r="E25" s="212"/>
      <c r="F25" s="39">
        <f>F13+F17+F21</f>
        <v>1752.1963463952027</v>
      </c>
      <c r="G25" s="219">
        <f>G13+G17+G21</f>
        <v>1752.3380452184776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1751.0162601626014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1" t="s">
        <v>21</v>
      </c>
      <c r="E26" s="212"/>
      <c r="F26" s="39">
        <f t="shared" si="3"/>
        <v>0</v>
      </c>
      <c r="G26" s="215">
        <f>G14+G18+G22</f>
        <v>0</v>
      </c>
      <c r="H26" s="21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1" t="s">
        <v>53</v>
      </c>
      <c r="E27" s="212"/>
      <c r="F27" s="39">
        <f>F15+F19+F23</f>
        <v>96.553653604797262</v>
      </c>
      <c r="G27" s="219">
        <f>G15+G19+G23</f>
        <v>96.551954781522397</v>
      </c>
      <c r="H27" s="220"/>
      <c r="I27" s="39">
        <v>0</v>
      </c>
      <c r="J27" s="39">
        <f t="shared" ref="J27" si="6">J24-J25-J26</f>
        <v>0</v>
      </c>
      <c r="K27" s="39">
        <f>K15+K19+K23</f>
        <v>96.543739837398604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1" t="s">
        <v>21</v>
      </c>
      <c r="E28" s="212"/>
      <c r="F28" s="39">
        <f>F29+F30+F31</f>
        <v>848.47</v>
      </c>
      <c r="G28" s="221">
        <f>G29+G30+G31</f>
        <v>757.56999999999994</v>
      </c>
      <c r="H28" s="222"/>
      <c r="I28" s="83">
        <f t="shared" ref="I28:J29" si="7">I29+I30+I31</f>
        <v>0</v>
      </c>
      <c r="J28" s="83">
        <f t="shared" si="7"/>
        <v>0</v>
      </c>
      <c r="K28" s="83">
        <f>K29+K30+K31</f>
        <v>90.9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1" t="s">
        <v>21</v>
      </c>
      <c r="E29" s="212"/>
      <c r="F29" s="83">
        <f>G29+K29</f>
        <v>804.16</v>
      </c>
      <c r="G29" s="223">
        <f>ROUND('Додаток 1'!K49+'Додаток 3'!H34,2)</f>
        <v>718.01</v>
      </c>
      <c r="H29" s="224"/>
      <c r="I29" s="83">
        <f t="shared" si="7"/>
        <v>0</v>
      </c>
      <c r="J29" s="83">
        <f t="shared" si="7"/>
        <v>0</v>
      </c>
      <c r="K29" s="77">
        <f>ROUND('Додаток 1'!AA49+'Додаток 3'!I34,2)</f>
        <v>86.15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1" t="s">
        <v>21</v>
      </c>
      <c r="E30" s="212"/>
      <c r="F30" s="83">
        <v>0</v>
      </c>
      <c r="G30" s="225">
        <v>0</v>
      </c>
      <c r="H30" s="226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1" t="s">
        <v>21</v>
      </c>
      <c r="E31" s="212"/>
      <c r="F31" s="83">
        <f>G31+K31</f>
        <v>44.31</v>
      </c>
      <c r="G31" s="223">
        <f>ROUND('Додаток 1'!K51+'Додаток 3'!H36,2)</f>
        <v>39.56</v>
      </c>
      <c r="H31" s="224"/>
      <c r="I31" s="83">
        <v>0</v>
      </c>
      <c r="J31" s="83">
        <v>0</v>
      </c>
      <c r="K31" s="77">
        <f>ROUND('Додаток 1'!AA51+'Додаток 3'!I36,2)</f>
        <v>4.75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1" t="s">
        <v>21</v>
      </c>
      <c r="E32" s="212"/>
      <c r="F32" s="39">
        <f>F33+F34+F35</f>
        <v>848.47</v>
      </c>
      <c r="G32" s="219">
        <f t="shared" ref="G32:K32" si="8">G28</f>
        <v>757.56999999999994</v>
      </c>
      <c r="H32" s="220"/>
      <c r="I32" s="39">
        <v>0</v>
      </c>
      <c r="J32" s="39">
        <v>0</v>
      </c>
      <c r="K32" s="39">
        <f t="shared" si="8"/>
        <v>90.9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1" t="s">
        <v>21</v>
      </c>
      <c r="E33" s="212"/>
      <c r="F33" s="39">
        <f>F29</f>
        <v>804.16</v>
      </c>
      <c r="G33" s="219">
        <f t="shared" ref="G33:K33" si="9">G29</f>
        <v>718.01</v>
      </c>
      <c r="H33" s="220"/>
      <c r="I33" s="39">
        <f t="shared" si="9"/>
        <v>0</v>
      </c>
      <c r="J33" s="39">
        <f t="shared" si="9"/>
        <v>0</v>
      </c>
      <c r="K33" s="39">
        <f t="shared" si="9"/>
        <v>86.15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1" t="s">
        <v>21</v>
      </c>
      <c r="E34" s="212"/>
      <c r="F34" s="39">
        <v>0</v>
      </c>
      <c r="G34" s="215">
        <v>0</v>
      </c>
      <c r="H34" s="21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1" t="s">
        <v>21</v>
      </c>
      <c r="E35" s="212"/>
      <c r="F35" s="39">
        <f>F31</f>
        <v>44.31</v>
      </c>
      <c r="G35" s="219">
        <f t="shared" ref="G35:K35" si="10">G32-G33-G34</f>
        <v>39.559999999999945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4.75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1" t="s">
        <v>57</v>
      </c>
      <c r="E36" s="212"/>
      <c r="F36" s="40">
        <f>F37+F38</f>
        <v>458.94400000000002</v>
      </c>
      <c r="G36" s="227">
        <f t="shared" ref="G36:K36" si="11">G37+G38</f>
        <v>409.74400000000003</v>
      </c>
      <c r="H36" s="228"/>
      <c r="I36" s="40">
        <f t="shared" si="11"/>
        <v>0</v>
      </c>
      <c r="J36" s="40">
        <f t="shared" si="11"/>
        <v>0</v>
      </c>
      <c r="K36" s="40">
        <f t="shared" si="11"/>
        <v>49.2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1" t="s">
        <v>57</v>
      </c>
      <c r="E37" s="212"/>
      <c r="F37" s="40">
        <f>G37+K37</f>
        <v>458.94400000000002</v>
      </c>
      <c r="G37" s="229">
        <f>'Додаток 1'!K67</f>
        <v>409.74400000000003</v>
      </c>
      <c r="H37" s="230"/>
      <c r="I37" s="40">
        <v>0</v>
      </c>
      <c r="J37" s="40">
        <v>0</v>
      </c>
      <c r="K37" s="99">
        <f>'Додаток 1'!AA67</f>
        <v>49.2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1" t="s">
        <v>57</v>
      </c>
      <c r="E38" s="212"/>
      <c r="F38" s="40">
        <v>0</v>
      </c>
      <c r="G38" s="231">
        <v>0</v>
      </c>
      <c r="H38" s="23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3"/>
      <c r="E39" s="234"/>
      <c r="F39" s="86" t="s">
        <v>129</v>
      </c>
      <c r="G39" s="235" t="s">
        <v>129</v>
      </c>
      <c r="H39" s="23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1" t="s">
        <v>111</v>
      </c>
      <c r="E40" s="212"/>
      <c r="F40" s="83">
        <f>F15/F13*100</f>
        <v>5.5078979538886488</v>
      </c>
      <c r="G40" s="221">
        <f t="shared" ref="G40:K40" si="12">G15/G13*100</f>
        <v>5.5069874845355065</v>
      </c>
      <c r="H40" s="222"/>
      <c r="I40" s="83">
        <v>0</v>
      </c>
      <c r="J40" s="83">
        <v>0</v>
      </c>
      <c r="K40" s="83">
        <f t="shared" si="12"/>
        <v>5.5148591296007821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1" t="s">
        <v>111</v>
      </c>
      <c r="E41" s="212"/>
      <c r="F41" s="83">
        <v>0</v>
      </c>
      <c r="G41" s="221">
        <v>0</v>
      </c>
      <c r="H41" s="22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38" t="s">
        <v>111</v>
      </c>
      <c r="E42" s="156"/>
      <c r="F42" s="84">
        <f>F23/F21*100</f>
        <v>5.5875848496681089</v>
      </c>
      <c r="G42" s="239">
        <f t="shared" ref="G42:K42" si="13">G23/G21*100</f>
        <v>5.5982132050721436</v>
      </c>
      <c r="H42" s="240"/>
      <c r="I42" s="84">
        <v>0</v>
      </c>
      <c r="J42" s="84">
        <v>0</v>
      </c>
      <c r="K42" s="84">
        <f t="shared" si="13"/>
        <v>5.4747445255474414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1" t="s">
        <v>111</v>
      </c>
      <c r="E43" s="242"/>
      <c r="F43" s="85">
        <f>F27/F25*100</f>
        <v>5.5104357341822627</v>
      </c>
      <c r="G43" s="243">
        <f t="shared" ref="G43:K43" si="14">G27/G25*100</f>
        <v>5.5098931992590794</v>
      </c>
      <c r="H43" s="244"/>
      <c r="I43" s="85">
        <v>0</v>
      </c>
      <c r="J43" s="85">
        <v>0</v>
      </c>
      <c r="K43" s="85">
        <f t="shared" si="14"/>
        <v>5.5135832849680924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5" t="s">
        <v>134</v>
      </c>
      <c r="C45" s="245"/>
      <c r="D45" s="245"/>
      <c r="E45" s="245"/>
      <c r="F45" s="24"/>
      <c r="G45" s="24"/>
      <c r="H45" s="29"/>
      <c r="I45" s="29"/>
      <c r="J45" s="29"/>
      <c r="K45" s="29"/>
      <c r="L45" s="30"/>
    </row>
    <row r="46" spans="1:12" ht="21.75" customHeight="1">
      <c r="A46" s="246" t="s">
        <v>155</v>
      </c>
      <c r="B46" s="246"/>
      <c r="C46" s="246"/>
      <c r="D46" s="246"/>
      <c r="E46" s="247"/>
      <c r="F46" s="247"/>
      <c r="G46" s="247"/>
      <c r="H46" s="237" t="s">
        <v>133</v>
      </c>
      <c r="I46" s="237"/>
      <c r="J46" s="237"/>
      <c r="K46" s="237"/>
      <c r="L46" s="237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2021-05-31T13:28:13Z</dcterms:modified>
</cp:coreProperties>
</file>